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harts/chart13.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5.xml" ContentType="application/vnd.openxmlformats-officedocument.drawingml.chart+xml"/>
  <Override PartName="/xl/drawings/drawing18.xml" ContentType="application/vnd.openxmlformats-officedocument.drawing+xml"/>
  <Override PartName="/xl/charts/chart16.xml" ContentType="application/vnd.openxmlformats-officedocument.drawingml.chart+xml"/>
  <Override PartName="/xl/drawings/drawing19.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1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trlProps/ctrlProp13.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2.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trlProps/ctrlProp14.xml" ContentType="application/vnd.ms-excel.controlproperties+xml"/>
  <Override PartName="/xl/comments3.xml" ContentType="application/vnd.openxmlformats-officedocument.spreadsheetml.comments+xml"/>
  <Override PartName="/xl/charts/chart18.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harts/chart19.xml" ContentType="application/vnd.openxmlformats-officedocument.drawingml.chart+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codeName="ThisWorkbook" defaultThemeVersion="166925"/>
  <mc:AlternateContent xmlns:mc="http://schemas.openxmlformats.org/markup-compatibility/2006">
    <mc:Choice Requires="x15">
      <x15ac:absPath xmlns:x15ac="http://schemas.microsoft.com/office/spreadsheetml/2010/11/ac" url="C:\tmp\"/>
    </mc:Choice>
  </mc:AlternateContent>
  <xr:revisionPtr revIDLastSave="0" documentId="8_{84DB3C2E-3064-4CBF-8FEC-242D31ED3B85}" xr6:coauthVersionLast="45" xr6:coauthVersionMax="45" xr10:uidLastSave="{00000000-0000-0000-0000-000000000000}"/>
  <workbookProtection workbookAlgorithmName="SHA-512" workbookHashValue="qzb0DUA3pfEJIBLWoQ6p0m7Ssrb8I2xg/l+wX3Xud4rGMFlXBlgqe44aO6qW+XixwaSCsfXiiOXm+y4wxNAImA==" workbookSaltValue="/gnVaKLQX4Q9rvIuKxQMXQ==" workbookSpinCount="100000" lockStructure="1"/>
  <bookViews>
    <workbookView showHorizontalScroll="0" showSheetTabs="0" xWindow="-110" yWindow="-110" windowWidth="19420" windowHeight="10420" tabRatio="795" firstSheet="47" activeTab="1" xr2:uid="{00000000-000D-0000-FFFF-FFFF00000000}"/>
  </bookViews>
  <sheets>
    <sheet name="About" sheetId="33" r:id="rId1"/>
    <sheet name="Index" sheetId="29" r:id="rId2"/>
    <sheet name="Aggregating" sheetId="1" r:id="rId3"/>
    <sheet name="Averaging" sheetId="5" r:id="rId4"/>
    <sheet name="Charting" sheetId="19" r:id="rId5"/>
    <sheet name="Charting_calcs" sheetId="40" state="hidden" r:id="rId6"/>
    <sheet name="Highlighting" sheetId="15" r:id="rId7"/>
    <sheet name="Filtering" sheetId="3" r:id="rId8"/>
    <sheet name="Filtering_calcs" sheetId="42" state="hidden" r:id="rId9"/>
    <sheet name="RateSensitising" sheetId="30" r:id="rId10"/>
    <sheet name="Interpolating" sheetId="2" r:id="rId11"/>
    <sheet name="Interpolating_calcs" sheetId="11" state="hidden" r:id="rId12"/>
    <sheet name="Interpolating_calcs_2" sheetId="24" state="hidden" r:id="rId13"/>
    <sheet name="Looking_Up" sheetId="16" r:id="rId14"/>
    <sheet name="Prioritising" sheetId="26" r:id="rId15"/>
    <sheet name="Prioritising_calcs" sheetId="51" state="hidden" r:id="rId16"/>
    <sheet name="Ranking" sheetId="4" r:id="rId17"/>
    <sheet name="Ranking_calcs" sheetId="8" state="hidden" r:id="rId18"/>
    <sheet name="Rounding" sheetId="49" r:id="rId19"/>
    <sheet name="Scenario_Analysing" sheetId="34" r:id="rId20"/>
    <sheet name="Scenario_Analysing_calcs" sheetId="35" state="hidden" r:id="rId21"/>
    <sheet name="Scenario_Analysing_calcs2" sheetId="36" state="hidden" r:id="rId22"/>
    <sheet name="Scheduling" sheetId="22" r:id="rId23"/>
    <sheet name="Seasonalising" sheetId="47" r:id="rId24"/>
    <sheet name="seasonalising_calcs" sheetId="48" state="hidden" r:id="rId25"/>
    <sheet name="Sensitising_Value" sheetId="43" r:id="rId26"/>
    <sheet name="Sensitising_Value_calcs" sheetId="44" state="hidden" r:id="rId27"/>
    <sheet name="RateSensitising_calcs" sheetId="46" state="hidden" r:id="rId28"/>
    <sheet name="Valuing_Option" sheetId="21" r:id="rId29"/>
    <sheet name="Valuing_Option_calcs" sheetId="23" state="hidden" r:id="rId30"/>
    <sheet name="Scheduling_calcs" sheetId="41" state="hidden" r:id="rId31"/>
    <sheet name="VB" sheetId="50" r:id="rId32"/>
    <sheet name="xref" sheetId="13" r:id="rId33"/>
    <sheet name="fn_ABS" sheetId="68" r:id="rId34"/>
    <sheet name="fn_AND" sheetId="66" r:id="rId35"/>
    <sheet name="fn_AVERAGE" sheetId="74" r:id="rId36"/>
    <sheet name="fn_CHOOSE" sheetId="52" r:id="rId37"/>
    <sheet name="fn_COUNT" sheetId="69" r:id="rId38"/>
    <sheet name="fn_COUNTIF" sheetId="70" r:id="rId39"/>
    <sheet name="fn_IF" sheetId="53" r:id="rId40"/>
    <sheet name="fn_ISNA" sheetId="65" r:id="rId41"/>
    <sheet name="fn_LARGE" sheetId="86" r:id="rId42"/>
    <sheet name="fn_LEFT" sheetId="76" r:id="rId43"/>
    <sheet name="fn_LOOKUP" sheetId="54" r:id="rId44"/>
    <sheet name="fn_MATCH" sheetId="71" r:id="rId45"/>
    <sheet name="fn_MAX" sheetId="72" r:id="rId46"/>
    <sheet name="fn_OFFSET" sheetId="55" r:id="rId47"/>
    <sheet name="fn_SUM" sheetId="56" r:id="rId48"/>
    <sheet name="fn_SUMPRODUCT" sheetId="78" r:id="rId49"/>
    <sheet name="fn_VLOOKUP" sheetId="57" r:id="rId50"/>
    <sheet name="Combine_1" sheetId="84" r:id="rId51"/>
    <sheet name="Combine_2" sheetId="85" r:id="rId52"/>
    <sheet name="Combine_3" sheetId="87" r:id="rId53"/>
    <sheet name="Combine_4" sheetId="89" r:id="rId54"/>
    <sheet name="Ex_1" sheetId="59" r:id="rId55"/>
    <sheet name="Ex_3" sheetId="80" r:id="rId56"/>
    <sheet name="Ex_Acc_Bal" sheetId="91" r:id="rId57"/>
    <sheet name="Ex_2" sheetId="60" r:id="rId58"/>
    <sheet name="Ex_4" sheetId="82" r:id="rId59"/>
    <sheet name="Ex_Status" sheetId="81" r:id="rId60"/>
    <sheet name="Ex_2_calcs" sheetId="63" state="hidden" r:id="rId61"/>
    <sheet name="Next" sheetId="88" r:id="rId62"/>
    <sheet name="Indexx" sheetId="64" r:id="rId63"/>
    <sheet name="sort" sheetId="28" state="hidden" r:id="rId64"/>
    <sheet name="graphics_calcs" sheetId="38" state="hidden" r:id="rId65"/>
    <sheet name="ads" sheetId="83" state="hidden" r:id="rId66"/>
    <sheet name="constants_calcs" sheetId="25" state="hidden" r:id="rId67"/>
  </sheets>
  <definedNames>
    <definedName name="_xlnm._FilterDatabase" localSheetId="7" hidden="1">Filtering!$A$15:$E$23</definedName>
    <definedName name="ad_first">ads!$C$67</definedName>
    <definedName name="ads_aggregating">ads!$12:$12</definedName>
    <definedName name="ads_averaging">ads!$13:$13</definedName>
    <definedName name="ads_charting">ads!$14:$14</definedName>
    <definedName name="ads_Combine_1">ads!$49:$49</definedName>
    <definedName name="ads_Combine_2">ads!$50:$50</definedName>
    <definedName name="ads_Combine_3">ads!$51:$51</definedName>
    <definedName name="ads_Combine_4">ads!$52:$52</definedName>
    <definedName name="ads_Ex_1">ads!$53:$53</definedName>
    <definedName name="ads_Ex_2">ads!$54:$54</definedName>
    <definedName name="ads_Ex_3">ads!$55:$55</definedName>
    <definedName name="ads_Ex_4">ads!$59:$59</definedName>
    <definedName name="ads_Ex_Acc_Bal">ads!$57:$57</definedName>
    <definedName name="ads_Ex_Status">ads!$56:$56</definedName>
    <definedName name="ads_filtering">ads!$16:$16</definedName>
    <definedName name="ads_fn_ABS">ads!$31:$31</definedName>
    <definedName name="ads_fn_AND">ads!$32:$32</definedName>
    <definedName name="ads_fn_AVERAGE">ads!$33:$33</definedName>
    <definedName name="ads_fn_CHOOSE">ads!$34:$34</definedName>
    <definedName name="ads_fn_COUNT">ads!$35:$35</definedName>
    <definedName name="ads_fn_COUNTIF">ads!$36:$36</definedName>
    <definedName name="ads_fn_IF">ads!$37:$37</definedName>
    <definedName name="ads_fn_ISNA">ads!$38:$38</definedName>
    <definedName name="ads_fn_LARGE">ads!$39:$39</definedName>
    <definedName name="ads_fn_LEFT">ads!$40:$40</definedName>
    <definedName name="ads_fn_LOOKUP">ads!$41:$41</definedName>
    <definedName name="ads_fn_MATCH">ads!$42:$42</definedName>
    <definedName name="ads_fn_MAX">ads!$43:$43</definedName>
    <definedName name="ads_fn_OFFSET">ads!$44:$44</definedName>
    <definedName name="ads_fn_OR">ads!$45:$45</definedName>
    <definedName name="ads_fn_SUM">ads!$46:$46</definedName>
    <definedName name="ads_fn_SUMPRODUCT">ads!$47:$47</definedName>
    <definedName name="ads_fn_VLOOKUP">ads!$48:$48</definedName>
    <definedName name="ads_highlighting">ads!$15:$15</definedName>
    <definedName name="ads_interpolating">ads!$18:$18</definedName>
    <definedName name="ads_looking_up">ads!$19:$19</definedName>
    <definedName name="ads_Next">ads!$58:$58</definedName>
    <definedName name="ads_prioritising">ads!$20:$20</definedName>
    <definedName name="ads_ranking">ads!$21:$21</definedName>
    <definedName name="ads_ratesensitising">ads!$17:$17</definedName>
    <definedName name="ads_rounding">ads!$22:$22</definedName>
    <definedName name="ads_scenario_analysing">ads!$23:$23</definedName>
    <definedName name="ads_scheduling">ads!$24:$24</definedName>
    <definedName name="ads_seasonalising">ads!$25:$25</definedName>
    <definedName name="ads_sensitising_value">ads!$26:$26</definedName>
    <definedName name="ads_top">ads!$V$1</definedName>
    <definedName name="ads_valuing_option">ads!$27:$27</definedName>
    <definedName name="ads_VB">ads!$28:$28</definedName>
    <definedName name="ads_xref">ads!$30:$30</definedName>
    <definedName name="ads_Your_own">ads!$29:$29</definedName>
    <definedName name="amounts">Highlighting!$E$19:$E$27,Highlighting!$I$19:$I$27,Highlighting!$M$19:$M$27</definedName>
    <definedName name="ann_sales_growth">Scenario_Analysing!$C$60</definedName>
    <definedName name="ans_COUNT_1">fn_COUNT!$C$55</definedName>
    <definedName name="ans_count_2">fn_COUNT!$C$57</definedName>
    <definedName name="answer_complete">constants_calcs!$A$17</definedName>
    <definedName name="answer_correct">constants_calcs!$A$18</definedName>
    <definedName name="asset_price_array">Valuing_Option_calcs!$D$11:$D$43</definedName>
    <definedName name="back_to_index">constants_calcs!$A$1</definedName>
    <definedName name="back_to_top">constants_calcs!$A$7</definedName>
    <definedName name="bridge_mode_on">Scenario_Analysing_calcs!$B$1</definedName>
    <definedName name="chart_dates">OFFSET(Charting_calcs!$B$2,Charting!$K$14-1,0,Charting!$K$15-Charting!$K$14+1,1)</definedName>
    <definedName name="chart_label">OFFSET(Scenario_Analysing_calcs!$K$12,0,0,num_chart_items+1,1)</definedName>
    <definedName name="chart_series_1">OFFSET(Scenario_Analysing_calcs!$L$12,0,0,num_chart_items+1,1)</definedName>
    <definedName name="chart_series_2">OFFSET(Scenario_Analysing_calcs!$M$12,0,0,num_chart_items+1,1)</definedName>
    <definedName name="chart_series_3">OFFSET(Scenario_Analysing_calcs!$N$12,0,0,num_chart_items+1,1)</definedName>
    <definedName name="chart_values">OFFSET(Charting_calcs!$C$2,Charting!$K$14-1,0,Charting!$K$15-Charting!$K$14+1,1)</definedName>
    <definedName name="cogs_per_sales">Scenario_Analysing!$C$64</definedName>
    <definedName name="copyright">constants_calcs!$A$10</definedName>
    <definedName name="curr_assets_per_sales">Scenario_Analysing!$C$61</definedName>
    <definedName name="curr_liabilities_per_sales">Scenario_Analysing!$C$62</definedName>
    <definedName name="cv_chart_names">OFFSET(Sensitising_Value_calcs!$U$8,0,0,Sensitising_Value_calcs!$B$4,1)</definedName>
    <definedName name="cv_chart_series_1">OFFSET(Sensitising_Value_calcs!$V$8,0,0,Sensitising_Value_calcs!$B$4,1)</definedName>
    <definedName name="cv_chart_series_2">OFFSET(Sensitising_Value_calcs!$W$8,0,0,Sensitising_Value_calcs!$B$4,1)</definedName>
    <definedName name="cv_sens_factor">Sensitising_Value_calcs!$B$3</definedName>
    <definedName name="cv_shift_type">Sensitising_Value_calcs!$B$1</definedName>
    <definedName name="data_table_1">Scenario_Analysing_calcs!$F$10:$H$23</definedName>
    <definedName name="dates">Aggregating!$C$27:$C$35,Aggregating!$H$27:$H$35,Aggregating!$L$27:$L$35</definedName>
    <definedName name="degree_of_difficulty">constants_calcs!$A$15</definedName>
    <definedName name="depn">Scenario_Analysing!$C$65</definedName>
    <definedName name="discount_rate">Scenario_Analysing!$C$70</definedName>
    <definedName name="div_payout_ratio">Scenario_Analysing!$C$69</definedName>
    <definedName name="equity_data_table">Scenario_Analysing_calcs!$B$2</definedName>
    <definedName name="fixed_assets_per_sales">Scenario_Analysing!$C$63</definedName>
    <definedName name="functions_aggregating">xref!$D$18</definedName>
    <definedName name="functions_averaging">xref!$D$19</definedName>
    <definedName name="functions_charting">xref!$D$20</definedName>
    <definedName name="functions_filtering">xref!$D$22</definedName>
    <definedName name="functions_highlighting">xref!$D$21</definedName>
    <definedName name="functions_interpolating">xref!$D$23</definedName>
    <definedName name="functions_looking_up">xref!$D$24</definedName>
    <definedName name="functions_prioritising">xref!$D$25</definedName>
    <definedName name="functions_ranking">xref!$D$26</definedName>
    <definedName name="functions_ratesensitising">xref!$D$32</definedName>
    <definedName name="functions_rounding">xref!$D$27</definedName>
    <definedName name="functions_Scenario_Analysing">xref!$D$28</definedName>
    <definedName name="functions_scheduling">xref!$D$29</definedName>
    <definedName name="functions_seasonalising">xref!$D$30</definedName>
    <definedName name="functions_sensitising_value">xref!$D$31</definedName>
    <definedName name="functions_used">constants_calcs!$A$2</definedName>
    <definedName name="functions_used_1">constants_calcs!$3:$3</definedName>
    <definedName name="functions_used_2">constants_calcs!$A$3</definedName>
    <definedName name="functions_valuing_option">xref!$D$33</definedName>
    <definedName name="hh_about">About!$A$1</definedName>
    <definedName name="hh_aggregating">Aggregating!$A$1</definedName>
    <definedName name="hh_AND_logical">fn_AND!$C$26</definedName>
    <definedName name="hh_Averaging">Averaging!$A$1</definedName>
    <definedName name="hh_charting">Charting!$A$1</definedName>
    <definedName name="hh_choose_scenario">fn_CHOOSE!$C$31</definedName>
    <definedName name="hh_Combine_1">Combine_1!$A$1</definedName>
    <definedName name="hh_Combine_2">Combine_2!$A$1</definedName>
    <definedName name="hh_Combine_3">Combine_3!$A$1</definedName>
    <definedName name="hh_Combine_4">Combine_4!$A$1</definedName>
    <definedName name="hh_conditional_counting">Ex_3!$C$3</definedName>
    <definedName name="hh_COUNTIF_concat">fn_COUNTIF!$C$52</definedName>
    <definedName name="hh_cubic_spline">Interpolating!$C$41</definedName>
    <definedName name="hh_Ex_1">Ex_1!$A$1</definedName>
    <definedName name="hh_Ex_2">Ex_2!$A$1</definedName>
    <definedName name="hh_Ex_3">Ex_3!$A$1</definedName>
    <definedName name="hh_Ex_4">Ex_4!$A$1</definedName>
    <definedName name="hh_Ex_Acc_Bal">Ex_Acc_Bal!$A$1</definedName>
    <definedName name="hh_ex_cashflows">Ex_Acc_Bal!$C$3</definedName>
    <definedName name="hh_ex_complex_lookups">Ex_4!$C$3</definedName>
    <definedName name="hh_ex_interpolating">Ex_2!$C$3</definedName>
    <definedName name="hh_Ex_Status">Ex_Status!$A$1</definedName>
    <definedName name="hh_filtering">Filtering!$A$1</definedName>
    <definedName name="hh_fn_ABS">fn_ABS!$A$1</definedName>
    <definedName name="hh_fn_AND">fn_AND!$A$1</definedName>
    <definedName name="hh_fn_AVERAGE">fn_AVERAGE!$A$1</definedName>
    <definedName name="hh_fn_CHOOSE">fn_CHOOSE!$A$1</definedName>
    <definedName name="hh_fn_COUNT">fn_COUNT!$A$1</definedName>
    <definedName name="hh_fn_COUNTIF">fn_COUNTIF!$A1048494</definedName>
    <definedName name="hh_fn_IF">fn_IF!$A$1</definedName>
    <definedName name="hh_fn_ISNA">fn_ISNA!$A$1</definedName>
    <definedName name="hh_fn_LARGE">fn_LARGE!$A$1</definedName>
    <definedName name="hh_fn_LEFT">fn_LEFT!$A$1</definedName>
    <definedName name="hh_fn_LEN">fn_LEFT!$A$76</definedName>
    <definedName name="hh_fn_LOOKUP">fn_LOOKUP!$A$1</definedName>
    <definedName name="hh_fn_MATCH">fn_MATCH!$A$1</definedName>
    <definedName name="hh_fn_MAX">fn_MAX!$A$1</definedName>
    <definedName name="hh_fn_MID">fn_LEFT!$A$59</definedName>
    <definedName name="hh_fn_MIN">fn_MAX!$B$1</definedName>
    <definedName name="hh_fn_OFFSET">fn_OFFSET!$A$1</definedName>
    <definedName name="hh_fn_OR">fn_AND!$C$91</definedName>
    <definedName name="hh_fn_RIGHT">fn_LEFT!$A$46</definedName>
    <definedName name="hh_fn_SUM">fn_SUM!$A$1</definedName>
    <definedName name="hh_fn_SUMPRODUCT">fn_SUMPRODUCT!$A$1</definedName>
    <definedName name="hh_fn_VLOOKUP">fn_VLOOKUP!$A$1</definedName>
    <definedName name="hh_highlight_dups">Highlighting!$C$29</definedName>
    <definedName name="hh_highlight_topN">Highlighting!$C$14</definedName>
    <definedName name="hh_Highlighting">Highlighting!$A$1</definedName>
    <definedName name="hh_IF_compound">Ex_1!$C$23</definedName>
    <definedName name="hh_index">Index!$A$1</definedName>
    <definedName name="hh_indexx">Indexx!$A$1</definedName>
    <definedName name="hh_interp_stat">Interpolating!$C$55</definedName>
    <definedName name="hh_interp_stepped">Interpolating!$C$13</definedName>
    <definedName name="hh_interpolating">Interpolating!$A$1</definedName>
    <definedName name="hh_LARGE_quartile">Combine_1!$C$14</definedName>
    <definedName name="hh_LARGE_sort">fn_LARGE!$C$32</definedName>
    <definedName name="hh_Looking_Up">Looking_Up!$A$1</definedName>
    <definedName name="hh_Next">Next!$A$1</definedName>
    <definedName name="hh_OFFSET_3_args">fn_OFFSET!$C$30</definedName>
    <definedName name="hh_offset_average">fn_OFFSET!$C$94</definedName>
    <definedName name="hh_OFFSET_f_args">fn_OFFSET!$C$128</definedName>
    <definedName name="hh_OFFSET_p_n">fn_OFFSET!$C$58</definedName>
    <definedName name="hh_offset_scenario">fn_OFFSET!$C$77</definedName>
    <definedName name="hh_piecewise_linear">Interpolating!$C$27</definedName>
    <definedName name="hh_prioritising">Prioritising!$A$1</definedName>
    <definedName name="hh_ranking">Ranking!$A$1</definedName>
    <definedName name="hh_ratesensitising">RateSensitising!$A$1</definedName>
    <definedName name="hh_rounding">Rounding!$A$1</definedName>
    <definedName name="hh_scenario_analysing">Scenario_Analysing!$A$1</definedName>
    <definedName name="hh_scheduling">Scheduling!$A$1</definedName>
    <definedName name="hh_seasonalising">Seasonalising!$A$1</definedName>
    <definedName name="hh_sensitising_value">Sensitising_Value!$A$1</definedName>
    <definedName name="hh_SUM_diffs">fn_SUM!$C$32</definedName>
    <definedName name="hh_SUMPRODUCT_group">fn_SUMPRODUCT!$C$131</definedName>
    <definedName name="hh_Valuing_Option">Valuing_Option!$A$1</definedName>
    <definedName name="hh_VB">VB!$A$1</definedName>
    <definedName name="hh_xref">xref!$A$1</definedName>
    <definedName name="hm_about">About!$H$77</definedName>
    <definedName name="hm_aggregating">Aggregating!$J$58</definedName>
    <definedName name="hm_averaging">Averaging!$I$46</definedName>
    <definedName name="hm_charting">Charting!$H$53</definedName>
    <definedName name="hm_Combine_1">Combine_1!$G$68</definedName>
    <definedName name="hm_Combine_2">Combine_2!$G$53</definedName>
    <definedName name="hm_Combine_3">Combine_3!$G$84</definedName>
    <definedName name="hm_Combine_4">Combine_4!$G$71</definedName>
    <definedName name="hm_Ex_1">Ex_1!$G$94</definedName>
    <definedName name="hm_Ex_2">Ex_2!$G$70</definedName>
    <definedName name="hm_Ex_3">Ex_3!$G$83</definedName>
    <definedName name="hm_Ex_4">Ex_4!$G$83</definedName>
    <definedName name="hm_Ex_Acc_Bal">Ex_Acc_Bal!$G$112</definedName>
    <definedName name="hm_Ex_Status">Ex_Status!$G$19</definedName>
    <definedName name="hm_filtering">Filtering!$F$44</definedName>
    <definedName name="hm_fn_ABS">fn_ABS!$G$116</definedName>
    <definedName name="hm_fn_AND">fn_AND!$G$122</definedName>
    <definedName name="hm_fn_AVERAGE">fn_AVERAGE!$G$35</definedName>
    <definedName name="hm_fn_CHOOSE">fn_CHOOSE!$G$100</definedName>
    <definedName name="hm_fn_COUNT">fn_COUNT!$G$61</definedName>
    <definedName name="hm_fn_COUNTIF">fn_COUNTIF!$G$90</definedName>
    <definedName name="hm_fn_IF">fn_IF!$G$70</definedName>
    <definedName name="hm_fn_ISNA">fn_ISNA!$G$67</definedName>
    <definedName name="hm_fn_LARGE">fn_LARGE!$G$70</definedName>
    <definedName name="hm_fn_LEFT">fn_LEFT!$G$95</definedName>
    <definedName name="hm_fn_LOOKUP">fn_LOOKUP!$G$121</definedName>
    <definedName name="hm_fn_MATCH">fn_MATCH!$G$101</definedName>
    <definedName name="hm_fn_MAX">fn_MAX!$G$79</definedName>
    <definedName name="hm_fn_OFFSET">fn_OFFSET!$G$187</definedName>
    <definedName name="hm_fn_SUM">fn_SUM!$G$74</definedName>
    <definedName name="hm_fn_SUMPRODUCT">fn_SUMPRODUCT!$G$396</definedName>
    <definedName name="hm_fn_VLOOKUP">fn_VLOOKUP!$G$212</definedName>
    <definedName name="hm_highlighting">Highlighting!$G$76</definedName>
    <definedName name="hm_index">Index!$H$75</definedName>
    <definedName name="hm_indexx">Indexx!$D$138</definedName>
    <definedName name="hm_interpolating">Interpolating!$H$71</definedName>
    <definedName name="hm_looking_up">Looking_Up!$G$50</definedName>
    <definedName name="hm_Next">Next!$G$23</definedName>
    <definedName name="hm_prioritising">Prioritising!$F$83</definedName>
    <definedName name="hm_ranking">Ranking!$F$52</definedName>
    <definedName name="hm_ratesensitising">RateSensitising!$J$79</definedName>
    <definedName name="hm_rounding">Rounding!$E$39</definedName>
    <definedName name="hm_scenario_analysing">Scenario_Analysing!$G$149</definedName>
    <definedName name="hm_scheduling">Scheduling!$O$33</definedName>
    <definedName name="hm_seasonalising">Seasonalising!$G$39</definedName>
    <definedName name="hm_sensitising_value">Sensitising_Value!$E$130</definedName>
    <definedName name="hm_valuing_option">Valuing_Option!$E$48</definedName>
    <definedName name="hm_vb">VB!$G$22</definedName>
    <definedName name="hm_xref">xref!$M$46</definedName>
    <definedName name="home_address">constants_calcs!$A$13</definedName>
    <definedName name="index_about_col">Index!$G:$G</definedName>
    <definedName name="index_bottom_page">Index!$Q$72</definedName>
    <definedName name="index_bottom_row">Indexx!$133:$133</definedName>
    <definedName name="index_description_col">Index!$F:$F</definedName>
    <definedName name="index_left_col">Indexx!$C:$C</definedName>
    <definedName name="index_page_col">Index!$Q:$Q</definedName>
    <definedName name="index_right_col">Indexx!$G:$G</definedName>
    <definedName name="index_section_col">Index!$D:$D</definedName>
    <definedName name="index_top_page">Index!$Q$5</definedName>
    <definedName name="index_top_row">Indexx!$4:$4</definedName>
    <definedName name="int_on_cash">Scenario_Analysing!$C$67</definedName>
    <definedName name="int_on_debt">Scenario_Analysing!$C$66</definedName>
    <definedName name="last_col_about">About!$Q:$Q</definedName>
    <definedName name="last_col_aggregating">Aggregating!$S:$S</definedName>
    <definedName name="last_col_averaging">Averaging!$Q:$Q</definedName>
    <definedName name="last_col_charting">Charting!$Q:$Q</definedName>
    <definedName name="last_col_Combine_1">Combine_1!$P:$P</definedName>
    <definedName name="last_col_Combine_2">Combine_2!$P:$P</definedName>
    <definedName name="last_col_Combine_3">Combine_3!$P:$P</definedName>
    <definedName name="last_col_Combine_4">Combine_4!$P:$P</definedName>
    <definedName name="last_col_Ex_1">Ex_1!$P:$P</definedName>
    <definedName name="last_col_Ex_2">Ex_2!$P:$P</definedName>
    <definedName name="last_col_Ex_3">Ex_3!$P:$P</definedName>
    <definedName name="last_col_Ex_4">Ex_4!$P:$P</definedName>
    <definedName name="last_col_Ex_Acc_Bal">Ex_Acc_Bal!$P:$P</definedName>
    <definedName name="last_col_Ex_Status">Ex_Status!$P:$P</definedName>
    <definedName name="last_col_filtering">Filtering!$N:$N</definedName>
    <definedName name="last_col_fn_ABS">fn_ABS!$P:$P</definedName>
    <definedName name="last_col_fn_AND">fn_AND!$P:$P</definedName>
    <definedName name="last_col_fn_AVERAGE">fn_AVERAGE!$P:$P</definedName>
    <definedName name="last_col_fn_CHOOSE">fn_CHOOSE!$P:$P</definedName>
    <definedName name="last_col_fn_COUNT">fn_COUNT!$P:$P</definedName>
    <definedName name="last_col_fn_COUNTIF">fn_COUNTIF!$P:$P</definedName>
    <definedName name="last_col_fn_IF">fn_IF!$P:$P</definedName>
    <definedName name="last_col_fn_ISNA">fn_ISNA!$P:$P</definedName>
    <definedName name="last_col_fn_LARGE">fn_LARGE!$P:$P</definedName>
    <definedName name="last_col_fn_LEFT">fn_LEFT!$P:$P</definedName>
    <definedName name="last_col_fn_LOOKUP">fn_LOOKUP!$P:$P</definedName>
    <definedName name="last_col_fn_MATCH">fn_MATCH!$P:$P</definedName>
    <definedName name="last_col_fn_MAX">fn_MAX!$P:$P</definedName>
    <definedName name="last_col_fn_OFFSET">fn_OFFSET!$P:$P</definedName>
    <definedName name="last_col_FN_SUM">fn_SUM!$P:$P</definedName>
    <definedName name="last_col_fn_SUMPRODUCT">fn_SUMPRODUCT!$P:$P</definedName>
    <definedName name="last_col_fn_VLOOKUP">fn_VLOOKUP!$P:$P</definedName>
    <definedName name="last_col_highlighting">Highlighting!$N:$N</definedName>
    <definedName name="last_col_index">Index!$S:$S</definedName>
    <definedName name="last_col_indexx">Indexx!$K:$K</definedName>
    <definedName name="last_col_interpolating">Interpolating!$P:$P</definedName>
    <definedName name="last_col_looking_up">Looking_Up!$Q:$Q</definedName>
    <definedName name="last_col_Next">Next!$Q:$Q</definedName>
    <definedName name="last_col_prioritising">Prioritising!$N:$N</definedName>
    <definedName name="last_col_ranking">Ranking!$N:$N</definedName>
    <definedName name="last_col_ratesensitising">RateSensitising!$Y:$Y</definedName>
    <definedName name="last_col_rounding">Rounding!$N:$N</definedName>
    <definedName name="last_col_scenario_analysing">Scenario_Analysing!$N:$N</definedName>
    <definedName name="last_col_scheduling">Scheduling!$AM:$AM</definedName>
    <definedName name="last_col_seasonalising">Seasonalising!$O:$O</definedName>
    <definedName name="last_col_Sensitising_Value">Sensitising_Value!$N:$N</definedName>
    <definedName name="last_col_valuing_option">Valuing_Option!$N:$N</definedName>
    <definedName name="last_col_VB">VB!$O:$O</definedName>
    <definedName name="last_col_xref">xref!$AT:$AT</definedName>
    <definedName name="last_row_about">About!$78:$78</definedName>
    <definedName name="last_row_aggregating">Aggregating!$59:$59</definedName>
    <definedName name="last_row_averaging">Averaging!$47:$47</definedName>
    <definedName name="last_row_charting">Charting!$54:$54</definedName>
    <definedName name="last_row_Combine_1">Combine_1!$69:$69</definedName>
    <definedName name="last_row_Combine_2">Combine_2!$54:$54</definedName>
    <definedName name="last_row_Combine_3">Combine_3!$85:$85</definedName>
    <definedName name="last_row_Combine_4">Combine_4!$72:$72</definedName>
    <definedName name="last_row_Ex_1">Ex_1!$95:$95</definedName>
    <definedName name="last_row_Ex_2">Ex_2!$71:$71</definedName>
    <definedName name="last_row_Ex_3">Ex_3!$84:$84</definedName>
    <definedName name="last_row_Ex_4">Ex_4!$84:$84</definedName>
    <definedName name="last_row_Ex_Acc_Bal">Ex_Acc_Bal!$113:$113</definedName>
    <definedName name="last_row_Ex_Status">Ex_Status!$20:$20</definedName>
    <definedName name="last_row_filtering">Filtering!$45:$45</definedName>
    <definedName name="last_row_fn_ABS">fn_ABS!$117:$117</definedName>
    <definedName name="last_row_fn_AND">fn_AND!$123:$123</definedName>
    <definedName name="last_row_fn_AVERAGE">fn_AVERAGE!$36:$36</definedName>
    <definedName name="last_row_fn_CHOOSE">fn_CHOOSE!$101:$101</definedName>
    <definedName name="last_row_fn_COUNT">fn_COUNT!$62:$62</definedName>
    <definedName name="last_row_fn_COUNTIF">fn_COUNTIF!$91:$91</definedName>
    <definedName name="last_row_fn_IF">fn_IF!$71:$71</definedName>
    <definedName name="last_row_fn_ISNA">fn_ISNA!$68:$68</definedName>
    <definedName name="last_row_fn_LARGE">fn_LARGE!$71:$71</definedName>
    <definedName name="last_row_fn_LEFT">fn_LEFT!$96:$96</definedName>
    <definedName name="last_row_fn_LOOKUP">fn_LOOKUP!$122:$122</definedName>
    <definedName name="last_row_fn_MATCH">fn_MATCH!$102:$102</definedName>
    <definedName name="last_row_fn_MAX">fn_MAX!$80:$80</definedName>
    <definedName name="last_row_fn_OFFSET">fn_OFFSET!$188:$188</definedName>
    <definedName name="last_row_fn_SUM">fn_SUM!$75:$75</definedName>
    <definedName name="last_row_fn_SUMPRODUCT">fn_SUMPRODUCT!$397:$397</definedName>
    <definedName name="last_row_fn_VLOOKUP">fn_VLOOKUP!$213:$213</definedName>
    <definedName name="last_row_highlighting">Highlighting!$77:$77</definedName>
    <definedName name="last_row_index">Index!$76:$76</definedName>
    <definedName name="last_row_indexx">Indexx!$138:$138</definedName>
    <definedName name="last_row_interpolating">Interpolating!$72:$72</definedName>
    <definedName name="last_row_looking_up">Looking_Up!$51:$51</definedName>
    <definedName name="last_row_Next">Next!$24:$24</definedName>
    <definedName name="last_row_prioritising">Prioritising!$84:$84</definedName>
    <definedName name="last_row_ranking">Ranking!$53:$53</definedName>
    <definedName name="last_row_ratesensitising">RateSensitising!$80:$80</definedName>
    <definedName name="last_row_rounding">Rounding!$40:$40</definedName>
    <definedName name="last_row_scenario_analysing">Scenario_Analysing!$150:$150</definedName>
    <definedName name="last_row_scheduling">Scheduling!$34:$34</definedName>
    <definedName name="last_row_seasonalising">Seasonalising!$40:$40</definedName>
    <definedName name="last_row_Sensitising_Value">Sensitising_Value!$131:$131</definedName>
    <definedName name="last_row_valuing_option">Valuing_Option!$49:$49</definedName>
    <definedName name="last_row_VB">VB!$23:$23</definedName>
    <definedName name="last_row_xref">xref!$47:$47</definedName>
    <definedName name="links">constants_calcs!$O$2</definedName>
    <definedName name="links_evaluation">Next!$C$15</definedName>
    <definedName name="links_updates">Next!#REF!</definedName>
    <definedName name="links_vb">VB!$G$17</definedName>
    <definedName name="links_workshops">Next!$C$17</definedName>
    <definedName name="merge_level">Scenario_Analysing_calcs!$B$4</definedName>
    <definedName name="Moving_average">Averaging!$A$1</definedName>
    <definedName name="msg_attempted_incomplete">constants_calcs!$C$69</definedName>
    <definedName name="msg_completed">constants_calcs!$C$71</definedName>
    <definedName name="msg_not_attempted">constants_calcs!$C$70</definedName>
    <definedName name="names_aggregating">constants_calcs!$L$3</definedName>
    <definedName name="names_averaging">constants_calcs!$L$4</definedName>
    <definedName name="names_charting">constants_calcs!$L$5</definedName>
    <definedName name="names_filtering">constants_calcs!$L$7</definedName>
    <definedName name="names_highlighting">constants_calcs!$L$6</definedName>
    <definedName name="names_interpolating">constants_calcs!$L$8</definedName>
    <definedName name="names_looking_up">constants_calcs!$L$16</definedName>
    <definedName name="names_prioritising">constants_calcs!$L$10</definedName>
    <definedName name="names_ranking">constants_calcs!$L$9</definedName>
    <definedName name="names_ratesensitising">constants_calcs!$L$13</definedName>
    <definedName name="names_rounding">constants_calcs!$L$18</definedName>
    <definedName name="names_scenario_analysing">constants_calcs!$L$15</definedName>
    <definedName name="names_scheduling">constants_calcs!$L$11</definedName>
    <definedName name="names_seasonalising">constants_calcs!$L$17</definedName>
    <definedName name="names_sensitising_value">constants_calcs!$L$14</definedName>
    <definedName name="names_valuing_option">constants_calcs!$L$12</definedName>
    <definedName name="next_page">constants_calcs!$A$11</definedName>
    <definedName name="num_chart_items">Scenario_Analysing_calcs!$B$5</definedName>
    <definedName name="option_type_table">Valuing_Option_calcs!$T$10:$T$16</definedName>
    <definedName name="page_About">constants_calcs!$H$1</definedName>
    <definedName name="page_Aggregating">constants_calcs!$H$4</definedName>
    <definedName name="page_Averaging">constants_calcs!$H$5</definedName>
    <definedName name="page_Charting">constants_calcs!$H$6</definedName>
    <definedName name="page_Combine_1">constants_calcs!$H$47</definedName>
    <definedName name="page_Combine_2">constants_calcs!$H$48</definedName>
    <definedName name="page_Combine_3">constants_calcs!$H$49</definedName>
    <definedName name="page_Combine_4">constants_calcs!$H$51</definedName>
    <definedName name="page_Ex_1">constants_calcs!$H$29</definedName>
    <definedName name="page_Ex_2">constants_calcs!$H$30</definedName>
    <definedName name="page_Ex_3">constants_calcs!$H$44</definedName>
    <definedName name="page_Ex_4">constants_calcs!$H$46</definedName>
    <definedName name="page_Ex_Acc_Bal">constants_calcs!$H$52</definedName>
    <definedName name="page_Ex_Others">constants_calcs!$H$31</definedName>
    <definedName name="page_Ex_Status">constants_calcs!$H$45</definedName>
    <definedName name="page_Filtering">constants_calcs!$H$8</definedName>
    <definedName name="page_fn_ABS">constants_calcs!$H$35</definedName>
    <definedName name="page_fn_AND">constants_calcs!$H$34</definedName>
    <definedName name="page_fn_AVERAGE">constants_calcs!$H$40</definedName>
    <definedName name="page_fn_CHOOSE">constants_calcs!$H$22</definedName>
    <definedName name="page_fn_COUNT">constants_calcs!$H$36</definedName>
    <definedName name="page_fn_COUNTIF">constants_calcs!$H$37</definedName>
    <definedName name="page_fn_IF">constants_calcs!$H$23</definedName>
    <definedName name="page_fn_ISNA">constants_calcs!$H$33</definedName>
    <definedName name="page_fn_LARGE">constants_calcs!$H$41</definedName>
    <definedName name="page_fn_LEFT">constants_calcs!$H$42</definedName>
    <definedName name="page_fn_LOOKUP">constants_calcs!$H$24</definedName>
    <definedName name="page_fn_MATCH">constants_calcs!$H$38</definedName>
    <definedName name="page_fn_MAX">constants_calcs!$H$39</definedName>
    <definedName name="page_fn_OFFSET">constants_calcs!$H$25</definedName>
    <definedName name="page_fn_Others">constants_calcs!$H$28</definedName>
    <definedName name="page_fn_SUM">constants_calcs!$H$26</definedName>
    <definedName name="page_fn_SUMPRODUCT">constants_calcs!$H$43</definedName>
    <definedName name="page_fn_VLOOKUP">constants_calcs!$H$27</definedName>
    <definedName name="page_Highlighting">constants_calcs!$H$7</definedName>
    <definedName name="page_index">constants_calcs!$H$2</definedName>
    <definedName name="page_Indexx">constants_calcs!$H$32</definedName>
    <definedName name="page_Interpolating">constants_calcs!$H$9</definedName>
    <definedName name="page_Looking_Up">constants_calcs!$H$10</definedName>
    <definedName name="page_Next">constants_calcs!$H$50</definedName>
    <definedName name="page_prefix">constants_calcs!$A$8</definedName>
    <definedName name="page_Prioritising">constants_calcs!$H$11</definedName>
    <definedName name="page_Ranking">constants_calcs!$H$12</definedName>
    <definedName name="page_ratesensitising">constants_calcs!$H$17</definedName>
    <definedName name="page_rounding">constants_calcs!$H$13</definedName>
    <definedName name="page_Scenario_Analysing">constants_calcs!$H$14</definedName>
    <definedName name="page_Scheduling">constants_calcs!$H$19</definedName>
    <definedName name="page_seasonalising">constants_calcs!$H$15</definedName>
    <definedName name="page_Sensitising_Value">constants_calcs!$H$16</definedName>
    <definedName name="page_suffix">constants_calcs!$A$9</definedName>
    <definedName name="page_Valuing_Option">constants_calcs!$H$18</definedName>
    <definedName name="page_VB">constants_calcs!$H$20</definedName>
    <definedName name="page_xref">constants_calcs!$H$3</definedName>
    <definedName name="page_Your_own">constants_calcs!$H$21</definedName>
    <definedName name="previous_page">constants_calcs!$A$12</definedName>
    <definedName name="_xlnm.Print_Area" localSheetId="0">About!$A$1:$Q$146</definedName>
    <definedName name="_xlnm.Print_Area" localSheetId="2">Aggregating!$A$1:$S$59</definedName>
    <definedName name="_xlnm.Print_Area" localSheetId="3">Averaging!$A$1:$Q$47</definedName>
    <definedName name="_xlnm.Print_Area" localSheetId="4">Charting!$A$1:$Q$54</definedName>
    <definedName name="_xlnm.Print_Area" localSheetId="50">Combine_1!$A$1:$P$69</definedName>
    <definedName name="_xlnm.Print_Area" localSheetId="51">Combine_2!$A$1:$P$54</definedName>
    <definedName name="_xlnm.Print_Area" localSheetId="52">Combine_3!$A$1:$P$85</definedName>
    <definedName name="_xlnm.Print_Area" localSheetId="53">Combine_4!$A$1:$P$72</definedName>
    <definedName name="_xlnm.Print_Area" localSheetId="54">Ex_1!$A$1:$P$95</definedName>
    <definedName name="_xlnm.Print_Area" localSheetId="57">Ex_2!$A$1:$P$71</definedName>
    <definedName name="_xlnm.Print_Area" localSheetId="55">Ex_3!$A$1:$P$84</definedName>
    <definedName name="_xlnm.Print_Area" localSheetId="58">Ex_4!$A$1:$P$84</definedName>
    <definedName name="_xlnm.Print_Area" localSheetId="56">Ex_Acc_Bal!$A$1:$P$113</definedName>
    <definedName name="_xlnm.Print_Area" localSheetId="59">Ex_Status!$A$1:$P$20</definedName>
    <definedName name="_xlnm.Print_Area" localSheetId="7">Filtering!$A$1:$N$45</definedName>
    <definedName name="_xlnm.Print_Area" localSheetId="33">fn_ABS!$A$1:$P$117</definedName>
    <definedName name="_xlnm.Print_Area" localSheetId="34">fn_AND!$A$1:$P$123</definedName>
    <definedName name="_xlnm.Print_Area" localSheetId="35">fn_AVERAGE!$A$1:$P$36</definedName>
    <definedName name="_xlnm.Print_Area" localSheetId="36">fn_CHOOSE!$A$1:$P$101</definedName>
    <definedName name="_xlnm.Print_Area" localSheetId="37">fn_COUNT!$A$1:$P$62</definedName>
    <definedName name="_xlnm.Print_Area" localSheetId="38">fn_COUNTIF!$A$1:$P$91</definedName>
    <definedName name="_xlnm.Print_Area" localSheetId="39">fn_IF!$A$1:$P$71</definedName>
    <definedName name="_xlnm.Print_Area" localSheetId="40">fn_ISNA!$A$1:$P$68</definedName>
    <definedName name="_xlnm.Print_Area" localSheetId="41">fn_LARGE!$A$1:$P$71</definedName>
    <definedName name="_xlnm.Print_Area" localSheetId="42">fn_LEFT!$A$1:$P$96</definedName>
    <definedName name="_xlnm.Print_Area" localSheetId="43">fn_LOOKUP!$A$1:$P$122</definedName>
    <definedName name="_xlnm.Print_Area" localSheetId="44">fn_MATCH!$A$1:$P$102</definedName>
    <definedName name="_xlnm.Print_Area" localSheetId="45">fn_MAX!$A$1:$P$80</definedName>
    <definedName name="_xlnm.Print_Area" localSheetId="46">fn_OFFSET!$A$1:$P$188</definedName>
    <definedName name="_xlnm.Print_Area" localSheetId="47">fn_SUM!$A$1:$P$75</definedName>
    <definedName name="_xlnm.Print_Area" localSheetId="48">fn_SUMPRODUCT!$A$1:$P$397</definedName>
    <definedName name="_xlnm.Print_Area" localSheetId="49">fn_VLOOKUP!$A$1:$P$213</definedName>
    <definedName name="_xlnm.Print_Area" localSheetId="6">Highlighting!$A$1:$N$77</definedName>
    <definedName name="_xlnm.Print_Area" localSheetId="1">Index!$A$1:$S$76</definedName>
    <definedName name="_xlnm.Print_Area" localSheetId="10">Interpolating!$A$1:$P$72</definedName>
    <definedName name="_xlnm.Print_Area" localSheetId="13">Looking_Up!$A$1:$Q$51</definedName>
    <definedName name="_xlnm.Print_Area" localSheetId="61">Next!$A$1:$Q$24</definedName>
    <definedName name="_xlnm.Print_Area" localSheetId="14">Prioritising!$A$1:$N$84</definedName>
    <definedName name="_xlnm.Print_Area" localSheetId="16">Ranking!$A$1:$N$53</definedName>
    <definedName name="_xlnm.Print_Area" localSheetId="9">RateSensitising!$A$1:$Y$80</definedName>
    <definedName name="_xlnm.Print_Area" localSheetId="18">Rounding!$A$1:$N$40</definedName>
    <definedName name="_xlnm.Print_Area" localSheetId="19">Scenario_Analysing!$A$1:$N$150</definedName>
    <definedName name="_xlnm.Print_Area" localSheetId="22">Scheduling!$A$1:$AM$34</definedName>
    <definedName name="_xlnm.Print_Area" localSheetId="23">Seasonalising!$A$1:$O$40</definedName>
    <definedName name="_xlnm.Print_Area" localSheetId="25">Sensitising_Value!$A$1:$N$131</definedName>
    <definedName name="_xlnm.Print_Area" localSheetId="28">Valuing_Option!$A$1:$N$49</definedName>
    <definedName name="_xlnm.Print_Area" localSheetId="31">VB!$A$1:$O$23</definedName>
    <definedName name="_xlnm.Print_Area" localSheetId="32">xref!$A$1:$AT$47</definedName>
    <definedName name="qa_1">Scenario_Analysing_calcs2!$C$12</definedName>
    <definedName name="qa_2">Scenario_Analysing_calcs2!$C$91</definedName>
    <definedName name="qa_3">Scenario_Analysing_calcs2!$C$108</definedName>
    <definedName name="qa_4">Scenario_Analysing_calcs2!$C$67</definedName>
    <definedName name="qa_5">Scenario_Analysing_calcs2!$C$116</definedName>
    <definedName name="scenario">Scenario_Analysing!$M$74</definedName>
    <definedName name="scenario_choose">Scenario_Analysing!$E$56</definedName>
    <definedName name="season_extrapolate">seasonalising_calcs!$P$13</definedName>
    <definedName name="season_interpolate">seasonalising_calcs!$P$14</definedName>
    <definedName name="season_q1">seasonalising_calcs!$B$22</definedName>
    <definedName name="season_q2">seasonalising_calcs!$B$23</definedName>
    <definedName name="season_q3">seasonalising_calcs!$B$24</definedName>
    <definedName name="season_q4">seasonalising_calcs!$B$25</definedName>
    <definedName name="season_rnd_season">seasonalising_calcs!$B$29</definedName>
    <definedName name="season_rnd_trend">seasonalising_calcs!$B$28</definedName>
    <definedName name="season_trend">seasonalising_calcs!$B$27</definedName>
    <definedName name="see_summary">constants_calcs!$A$19</definedName>
    <definedName name="sftl_1">fn_COUNT!$F$15</definedName>
    <definedName name="sftl_10">fn_VLOOKUP!$F$146</definedName>
    <definedName name="sftl_100">Combine_2!$F$42</definedName>
    <definedName name="sftl_101">Combine_1!$G$39</definedName>
    <definedName name="sftl_102">Combine_1!$G$40</definedName>
    <definedName name="sftl_103">Combine_2!$F$43</definedName>
    <definedName name="sftl_104">Combine_2!$F$44</definedName>
    <definedName name="sftl_105">Combine_2!$F$45</definedName>
    <definedName name="sftl_106">Combine_2!$F$46</definedName>
    <definedName name="sftl_107">Combine_2!$F$47</definedName>
    <definedName name="sftl_108">Combine_2!$F$48</definedName>
    <definedName name="sftl_109">fn_LEFT!$F$20</definedName>
    <definedName name="sftl_11">fn_VLOOKUP!$F$176</definedName>
    <definedName name="sftl_110">fn_LEFT!$F$22</definedName>
    <definedName name="sftl_111">fn_LEFT!$F$24</definedName>
    <definedName name="sftl_112">fn_LEFT!$G$31</definedName>
    <definedName name="sftl_113">fn_LEFT!$G$32</definedName>
    <definedName name="sftl_114">fn_LEFT!$G$33</definedName>
    <definedName name="sftl_115">fn_LEFT!$G$34</definedName>
    <definedName name="sftl_116">fn_LEFT!$G$35</definedName>
    <definedName name="sftl_117">fn_LEFT!$G$36</definedName>
    <definedName name="sftl_118">fn_LEFT!$G$37</definedName>
    <definedName name="sftl_119">fn_LEFT!$G$38</definedName>
    <definedName name="sftl_12">fn_VLOOKUP!$G$208</definedName>
    <definedName name="sftl_120">fn_LEFT!$G$39</definedName>
    <definedName name="sftl_121">fn_LEFT!$G$40</definedName>
    <definedName name="sftl_122">fn_LEFT!$G$41</definedName>
    <definedName name="sftl_123">fn_LEFT!$G$42</definedName>
    <definedName name="sftl_124">Combine_2!$H$14</definedName>
    <definedName name="sftl_125">fn_SUMPRODUCT!$G$153</definedName>
    <definedName name="sftl_126">fn_SUMPRODUCT!$I$19</definedName>
    <definedName name="sftl_127">fn_SUMPRODUCT!$F$50</definedName>
    <definedName name="sftl_128">fn_SUMPRODUCT!$F$52</definedName>
    <definedName name="sftl_129">fn_SUMPRODUCT!$H$35</definedName>
    <definedName name="sftl_13">fn_VLOOKUP!$F$190</definedName>
    <definedName name="sftl_130">Combine_2!$F$49</definedName>
    <definedName name="sftl_131">fn_SUMPRODUCT!$H$70</definedName>
    <definedName name="sftl_132">Combine_2!$J$42</definedName>
    <definedName name="sftl_133">Combine_2!$J$43</definedName>
    <definedName name="sftl_134">fn_SUMPRODUCT!$G$94</definedName>
    <definedName name="sftl_135">fn_SUMPRODUCT!$E$100</definedName>
    <definedName name="sftl_136">fn_SUMPRODUCT!$E$121</definedName>
    <definedName name="sftl_137">Combine_2!$J$44</definedName>
    <definedName name="sftl_138">Combine_2!$J$45</definedName>
    <definedName name="sftl_139">Combine_2!$J$46</definedName>
    <definedName name="sftl_14">fn_CHOOSE!$E$19</definedName>
    <definedName name="sftl_140">fn_SUMPRODUCT!$G$95</definedName>
    <definedName name="sftl_141">fn_SUMPRODUCT!$G$96</definedName>
    <definedName name="sftl_142">fn_SUMPRODUCT!$G$97</definedName>
    <definedName name="sftl_143">fn_MATCH!$E$30</definedName>
    <definedName name="sftl_144">fn_MATCH!$E$31</definedName>
    <definedName name="sftl_145">fn_MATCH!$E$32</definedName>
    <definedName name="sftl_146">fn_MATCH!$E$55</definedName>
    <definedName name="sftl_147">fn_MATCH!$E$54</definedName>
    <definedName name="sftl_148">Combine_4!$G$30</definedName>
    <definedName name="sftl_149">fn_MATCH!$E$69</definedName>
    <definedName name="sftl_15">fn_CHOOSE!$E$28</definedName>
    <definedName name="sftl_150">Combine_2!$J$47</definedName>
    <definedName name="sftl_151">Combine_2!$J$48</definedName>
    <definedName name="sftl_152">Combine_2!$J$49</definedName>
    <definedName name="sftl_153">Combine_2!$H$39</definedName>
    <definedName name="sftl_154">Combine_3!$F$39</definedName>
    <definedName name="sftl_155">Combine_3!$G$77</definedName>
    <definedName name="sftl_156">Combine_3!$G$77</definedName>
    <definedName name="sftl_157">Combine_3!$G$78</definedName>
    <definedName name="sftl_158">fn_MATCH!$G$80</definedName>
    <definedName name="sftl_159">fn_MATCH!$E$96</definedName>
    <definedName name="sftl_16">fn_CHOOSE!$E$49</definedName>
    <definedName name="sftl_160">fn_MAX!$I$15</definedName>
    <definedName name="sftl_161">fn_MATCH!$E$53</definedName>
    <definedName name="sftl_162">Combine_4!$H$24</definedName>
    <definedName name="sftl_163">Combine_4!$G$32</definedName>
    <definedName name="sftl_164">Combine_4!$H$25</definedName>
    <definedName name="sftl_165">Combine_4!$H$26</definedName>
    <definedName name="sftl_166">Combine_4!$H$27</definedName>
    <definedName name="sftl_167">Combine_4!$H$28</definedName>
    <definedName name="sftl_168">fn_MAX!$J$38</definedName>
    <definedName name="sftl_169">fn_MAX!$H$40</definedName>
    <definedName name="sftl_17">fn_IF!$F$16</definedName>
    <definedName name="sftl_170">fn_MAX!$J$55</definedName>
    <definedName name="sftl_171">fn_MAX!$H$57</definedName>
    <definedName name="sftl_172">fn_MAX!$J$68</definedName>
    <definedName name="sftl_173">fn_MAX!$J$68</definedName>
    <definedName name="sftl_174">fn_MAX!$H$70</definedName>
    <definedName name="sftl_175">fn_MAX!$I$17</definedName>
    <definedName name="sftl_176">Combine_4!$L$53</definedName>
    <definedName name="sftl_177">Combine_4!$L$55</definedName>
    <definedName name="sftl_178">Combine_4!$G$58</definedName>
    <definedName name="sftl_179">fn_AND!$I$104</definedName>
    <definedName name="sftl_18">fn_ABS!$F$110</definedName>
    <definedName name="sftl_180">fn_AND!$I$107</definedName>
    <definedName name="sftl_181">fn_LEFT!$H$56</definedName>
    <definedName name="sftl_182">fn_LEFT!$F$73</definedName>
    <definedName name="sftl_183">fn_LEFT!$F$82</definedName>
    <definedName name="sftl_184">fn_LEFT!$F$84</definedName>
    <definedName name="sftl_185">fn_LEFT!$F$86</definedName>
    <definedName name="sftl_186">fn_LEFT!$F$88</definedName>
    <definedName name="sftl_187">fn_LEFT!$F$90</definedName>
    <definedName name="sftl_19">fn_IF!$G$44</definedName>
    <definedName name="sftl_2">fn_VLOOKUP!$F$15</definedName>
    <definedName name="sftl_20">fn_VLOOKUP!$F$159</definedName>
    <definedName name="sftl_21">fn_CHOOSE!$E$61</definedName>
    <definedName name="sftl_22">fn_CHOOSE!$E$78</definedName>
    <definedName name="sftl_23">fn_IF!$G$64</definedName>
    <definedName name="sftl_24">fn_IF!$G$46</definedName>
    <definedName name="sftl_25">fn_COUNTIF!$I$21</definedName>
    <definedName name="sftl_26">fn_COUNTIF!$I$36</definedName>
    <definedName name="sftl_27">fn_IF!$G$48</definedName>
    <definedName name="sftl_28">fn_SUM!$F$30</definedName>
    <definedName name="sftl_29">fn_LOOKUP!$F$26</definedName>
    <definedName name="sftl_3">fn_VLOOKUP!$F$73</definedName>
    <definedName name="sftl_30">fn_LOOKUP!$F$67</definedName>
    <definedName name="sftl_31">fn_LOOKUP!$F$40</definedName>
    <definedName name="sftl_32">fn_LOOKUP!$F$77</definedName>
    <definedName name="sftl_33">fn_COUNTIF!$I$49</definedName>
    <definedName name="sftl_34">fn_LOOKUP!$F$55</definedName>
    <definedName name="sftl_35">fn_LOOKUP!$F$97</definedName>
    <definedName name="sftl_36">fn_SUM!$F$16</definedName>
    <definedName name="sftl_37">fn_IF!$F$26</definedName>
    <definedName name="sftl_38">fn_VLOOKUP!$F$99</definedName>
    <definedName name="sftl_39">fn_LOOKUP!$F$112</definedName>
    <definedName name="sftl_4">fn_COUNTIF!$H$78</definedName>
    <definedName name="sftl_40">fn_VLOOKUP!$F$115</definedName>
    <definedName name="sftl_41">fn_CHOOSE!$I$40</definedName>
    <definedName name="sftl_42">fn_CHOOSE!$F$93</definedName>
    <definedName name="sftl_43">fn_OFFSET!$G$50</definedName>
    <definedName name="sftl_44">fn_OFFSET!$E$71</definedName>
    <definedName name="sftl_45">fn_IF!$H$60</definedName>
    <definedName name="sftl_46">fn_COUNTIF!$H$62</definedName>
    <definedName name="sftl_47">fn_OFFSET!$G$91</definedName>
    <definedName name="sftl_48">fn_OFFSET!$G$92</definedName>
    <definedName name="sftl_49">fn_OFFSET!$H$109</definedName>
    <definedName name="sftl_5">fn_VLOOKUP!$F$72</definedName>
    <definedName name="sftl_50">fn_OFFSET!$H$108</definedName>
    <definedName name="sftl_51">fn_OFFSET!$H$107</definedName>
    <definedName name="sftl_52">fn_OFFSET!$H$181</definedName>
    <definedName name="sftl_53">fn_COUNT!$E$46</definedName>
    <definedName name="sftl_54">fn_OFFSET!$H$183</definedName>
    <definedName name="sftl_55">fn_OFFSET!$E$161</definedName>
    <definedName name="sftl_56">fn_OFFSET!$E$162</definedName>
    <definedName name="sftl_57">fn_OFFSET!$E$164</definedName>
    <definedName name="sftl_58">fn_OFFSET!$E$163</definedName>
    <definedName name="sftl_59">fn_SUM!$G$67</definedName>
    <definedName name="sftl_6">fn_VLOOKUP!$F$38</definedName>
    <definedName name="sftl_60">fn_SUM!$F$47</definedName>
    <definedName name="sftl_61">fn_SUM!$J$47</definedName>
    <definedName name="sftl_62">fn_SUM!$N$47</definedName>
    <definedName name="sftl_63">fn_SUM!$F$61</definedName>
    <definedName name="sftl_64">fn_COUNT!$E$28</definedName>
    <definedName name="sftl_65">fn_AND!$H$76</definedName>
    <definedName name="sftl_66">fn_AND!$G$88</definedName>
    <definedName name="sftl_67">fn_ABS!$H$56</definedName>
    <definedName name="sftl_68">fn_ABS!$H$74</definedName>
    <definedName name="sftl_69">fn_ABS!$H$92</definedName>
    <definedName name="sftl_7">fn_VLOOKUP!$F$53</definedName>
    <definedName name="sftl_70">fn_ABS!$K$92</definedName>
    <definedName name="sftl_71">fn_ABS!$I$108</definedName>
    <definedName name="sftl_72">fn_AVERAGE!$H$19</definedName>
    <definedName name="sftl_73">fn_AVERAGE!$H$21</definedName>
    <definedName name="sftl_74">fn_AVERAGE!$H$23</definedName>
    <definedName name="sftl_75">fn_AVERAGE!$H$25</definedName>
    <definedName name="sftl_76">Combine_1!$I$63</definedName>
    <definedName name="sftl_77">fn_ISNA!$F$25</definedName>
    <definedName name="sftl_78">fn_AND!$E$23</definedName>
    <definedName name="sftl_79">fn_ISNA!$K$27</definedName>
    <definedName name="sftl_8">fn_VLOOKUP!$F$86</definedName>
    <definedName name="sftl_80">fn_ISNA!$F$27</definedName>
    <definedName name="sftl_81">fn_ISNA!$K$25</definedName>
    <definedName name="sftl_82">fn_ISNA!$G$29</definedName>
    <definedName name="sftl_83">fn_ISNA!$F$59</definedName>
    <definedName name="sftl_84">fn_AND!$E$10</definedName>
    <definedName name="sftl_85">fn_AND!$E$12</definedName>
    <definedName name="sftl_86">fn_AND!$E$14</definedName>
    <definedName name="sftl_87">fn_AND!$E$60</definedName>
    <definedName name="sftl_88">fn_AND!$E$62</definedName>
    <definedName name="sftl_89">fn_AND!$E$64</definedName>
    <definedName name="sftl_9">fn_VLOOKUP!$F$131</definedName>
    <definedName name="sftl_90">fn_AND!$E$34</definedName>
    <definedName name="sftl_91">fn_AND!$E$32</definedName>
    <definedName name="sftl_92">fn_AND!$E$45</definedName>
    <definedName name="sftl_93">fn_AND!$E$47</definedName>
    <definedName name="sftl_94">fn_AND!$E$49</definedName>
    <definedName name="sftl_95">fn_COUNTIF!$H$75</definedName>
    <definedName name="sftl_96">fn_COUNTIF!$H$81</definedName>
    <definedName name="sftl_97">fn_COUNTIF!$I$23</definedName>
    <definedName name="sftl_98">Combine_3!$F$34</definedName>
    <definedName name="sftl_99">Combine_3!$F$73</definedName>
    <definedName name="tax">Scenario_Analysing!$C$68</definedName>
    <definedName name="title_ch_1">Aggregating!$C$3</definedName>
    <definedName name="title_ch_2">fn_ABS!$C$3</definedName>
    <definedName name="title_ch_3">Combine_1!$C$3</definedName>
    <definedName name="title_ch_4">Ex_1!$C$3:$O$3</definedName>
    <definedName name="title_ch_5">Next!$C$3</definedName>
    <definedName name="title_index">Indexx!$C$3</definedName>
    <definedName name="tr_1">Highlighting!$D$34:$D$42</definedName>
    <definedName name="tr_2">Highlighting!$H$34:$H$42</definedName>
    <definedName name="tr_3">Highlighting!$L$34:$L$42</definedName>
    <definedName name="TVM">Scenario_Analysing!$C$71</definedName>
    <definedName name="version">About!$P$78</definedName>
    <definedName name="vs_1">fn_LOOKUP!$C$61:$K$69</definedName>
    <definedName name="vs_10">fn_VLOOKUP!$C$173:$K$181</definedName>
    <definedName name="vs_11">fn_VLOOKUP!$C$200:$K$208</definedName>
    <definedName name="vs_12">fn_VLOOKUP!$C$187:$K$195</definedName>
    <definedName name="vs_13">fn_CHOOSE!$C$16:$K$20</definedName>
    <definedName name="vs_14">fn_CHOOSE!$C$25:$K$29</definedName>
    <definedName name="vs_15">fn_CHOOSE!$C$46:$K$50</definedName>
    <definedName name="vs_16">fn_IF!$C$13:$K$17</definedName>
    <definedName name="vs_17">fn_LOOKUP!$C$23:$K$31</definedName>
    <definedName name="vs_18">fn_IF!$C$41:$K$48</definedName>
    <definedName name="vs_19">fn_VLOOKUP!$C$156:$K$164</definedName>
    <definedName name="vs_2">fn_LOOKUP!$C$109:$K$117</definedName>
    <definedName name="vs_20">fn_CHOOSE!$C$58:$K$62</definedName>
    <definedName name="vs_21">fn_CHOOSE!$C$71:$K$79</definedName>
    <definedName name="vs_22">fn_VLOOKUP!$C$112:$K$120</definedName>
    <definedName name="vs_23">fn_LOOKUP!$C$37:$K$45</definedName>
    <definedName name="vs_24">fn_LOOKUP!$C$74:$K$82</definedName>
    <definedName name="vs_25">fn_SUM!$C$10:$J$17</definedName>
    <definedName name="vs_26">fn_SUM!$C$59:$K$67</definedName>
    <definedName name="vs_27">fn_LOOKUP!$C$49:$K$57</definedName>
    <definedName name="vs_28">fn_LOOKUP!$C$94:$K$102</definedName>
    <definedName name="vs_29">fn_VLOOKUP!$C$96:$K$104</definedName>
    <definedName name="vs_3">fn_VLOOKUP!$C$69:$K$77</definedName>
    <definedName name="vs_30">fn_CHOOSE!$C$36:$K$41</definedName>
    <definedName name="vs_31">fn_OFFSET!$C$44:$K$51</definedName>
    <definedName name="vs_32">fn_CHOOSE!$C$86:$K$95</definedName>
    <definedName name="vs_33">fn_OFFSET!$C$64:$K$72</definedName>
    <definedName name="vs_34">fn_IF!$C$58:$N$64</definedName>
    <definedName name="vs_35">fn_OFFSET!$C$82:$K$92</definedName>
    <definedName name="vs_36">fn_OFFSET!$C$100:$K$109</definedName>
    <definedName name="vs_37">fn_OFFSET!$C$174:$L$183</definedName>
    <definedName name="vs_38">fn_OFFSET!$C$156:$K$165</definedName>
    <definedName name="vs_39">fn_SUM!$C$22:$J$30</definedName>
    <definedName name="vs_4">fn_VLOOKUP!$C$12:$K$20</definedName>
    <definedName name="vs_40">fn_IF!$C$21:$K$27</definedName>
    <definedName name="vs_41">fn_SUM!$C$44:$K$50</definedName>
    <definedName name="vs_42">fn_COUNT!$C$39:$K$47</definedName>
    <definedName name="vs_43">fn_COUNT!$C$21:$K$29</definedName>
    <definedName name="vs_44">fn_AND!$C$70:$K$77</definedName>
    <definedName name="vs_45">fn_AND!$C$82:$K$89</definedName>
    <definedName name="vs_46">fn_ABS!$C$50:$K$57</definedName>
    <definedName name="vs_47">fn_ABS!$C$68:$K$75</definedName>
    <definedName name="vs_48">fn_ABS!$C$86:$L$93</definedName>
    <definedName name="vs_49">fn_AVERAGE!$C$18:$K$25</definedName>
    <definedName name="vs_5">fn_VLOOKUP!$C$35:$K$43</definedName>
    <definedName name="vs_50">fn_COUNT!$C$10:$K$16</definedName>
    <definedName name="vs_51">fn_ABS!$C$106:$K$112</definedName>
    <definedName name="vs_52">fn_COUNTIF!$C$69:$K$82</definedName>
    <definedName name="vs_53">fn_COUNTIF!$C$17:$K$24</definedName>
    <definedName name="vs_54">fn_COUNTIF!$C$32:$K$37</definedName>
    <definedName name="vs_55">fn_COUNTIF!$C$43:$K$50</definedName>
    <definedName name="vs_56">fn_COUNTIF!$C$56:$K$63</definedName>
    <definedName name="vs_57">fn_ISNA!$C$23:$N$30</definedName>
    <definedName name="vs_58">fn_AND!$C$19:$K$24</definedName>
    <definedName name="vs_59">fn_ISNA!$C$51:$N$59</definedName>
    <definedName name="vs_6">fn_VLOOKUP!$C$50:$K$58</definedName>
    <definedName name="vs_60">fn_AND!$C$8:$K$15</definedName>
    <definedName name="vs_61">fn_AND!$C$58:$L$65</definedName>
    <definedName name="vs_62">fn_AND!$C$31:$K$35</definedName>
    <definedName name="vs_63">fn_AND!$C$44:$K$50</definedName>
    <definedName name="vs_64">Combine_3!$C$25:$O$39</definedName>
    <definedName name="vs_65">Combine_2!$C$36:$K$49</definedName>
    <definedName name="vs_66">Combine_1!$C$30:$K$40</definedName>
    <definedName name="vs_67">Combine_1!$C$54:$L$64</definedName>
    <definedName name="vs_68">Combine_2!$C$11:$L$24</definedName>
    <definedName name="vs_69">fn_LEFT!$C$19:$J$26</definedName>
    <definedName name="vs_7">fn_VLOOKUP!$C$83:$K$91</definedName>
    <definedName name="vs_70">fn_LEFT!$C$30:$H$42</definedName>
    <definedName name="vs_71">Combine_3!$C$64:$O$78</definedName>
    <definedName name="vs_72">fn_SUMPRODUCT!$C$146:$O$163</definedName>
    <definedName name="vs_73">fn_SUMPRODUCT!$C$146:$H$163</definedName>
    <definedName name="vs_74">fn_SUMPRODUCT!$C$17:$L$22</definedName>
    <definedName name="vs_75">fn_SUMPRODUCT!$C$48:$K$53</definedName>
    <definedName name="vs_76">fn_SUMPRODUCT!$C$33:$K$39</definedName>
    <definedName name="vs_77">fn_MATCH!$C$77:$I$97</definedName>
    <definedName name="vs_78">fn_SUMPRODUCT!$C$68:$K$74</definedName>
    <definedName name="vs_79">fn_SUMPRODUCT!$C$85:$K$101</definedName>
    <definedName name="vs_8">fn_VLOOKUP!$C$128:$K$136</definedName>
    <definedName name="vs_80">fn_SUMPRODUCT!$C$112:$K$122</definedName>
    <definedName name="vs_81">fn_MATCH!$C$26:$K$33</definedName>
    <definedName name="vs_82">fn_MATCH!$C$49:$K$56</definedName>
    <definedName name="vs_83">fn_MATCH!$C$65:$K$70</definedName>
    <definedName name="vs_84">fn_MAX!$C$13:$K$19</definedName>
    <definedName name="vs_85">Combine_4!$C$21:$J$33</definedName>
    <definedName name="vs_86">fn_MAX!$C$32:$K$40</definedName>
    <definedName name="vs_87">fn_MAX!$C$49:$K$57</definedName>
    <definedName name="vs_88">fn_MAX!$C$62:$K$70</definedName>
    <definedName name="vs_89">Combine_4!$C$46:$M$59</definedName>
    <definedName name="vs_9">fn_VLOOKUP!$C$143:$K$151</definedName>
    <definedName name="vs_90">fn_AND!$C$99:$L$114</definedName>
    <definedName name="vs_91">fn_LEFT!$C$51:$I$57</definedName>
    <definedName name="vs_92">fn_LEFT!$C$65:$K$74</definedName>
    <definedName name="vs_93">fn_LEFT!$C$81:$K$91</definedName>
    <definedName name="xref_examples_start">xref!$C$18</definedName>
    <definedName name="xref_functions_start">xref!$F$17</definedName>
  </definedNames>
  <calcPr calcId="181029"/>
  <fileRecoveryPr autoRecover="0"/>
</workbook>
</file>

<file path=xl/calcChain.xml><?xml version="1.0" encoding="utf-8"?>
<calcChain xmlns="http://schemas.openxmlformats.org/spreadsheetml/2006/main">
  <c r="A68" i="83" l="1"/>
  <c r="A69" i="83" s="1"/>
  <c r="A70" i="83" s="1"/>
  <c r="A71" i="83" s="1"/>
  <c r="A72" i="83" s="1"/>
  <c r="A73" i="83" s="1"/>
  <c r="A74" i="83" s="1"/>
  <c r="A75" i="83" s="1"/>
  <c r="A76" i="83" s="1"/>
  <c r="A77" i="83" s="1"/>
  <c r="A78" i="83" s="1"/>
  <c r="A79" i="83" s="1"/>
  <c r="A80" i="83" s="1"/>
  <c r="A81" i="83" s="1"/>
  <c r="A82" i="83" s="1"/>
  <c r="A83" i="83" s="1"/>
  <c r="A84" i="83" s="1"/>
  <c r="A85" i="83" s="1"/>
  <c r="A86" i="83" s="1"/>
  <c r="A87" i="83" s="1"/>
  <c r="A88" i="83" s="1"/>
  <c r="A89" i="83" s="1"/>
  <c r="A90" i="83" s="1"/>
  <c r="A91" i="83" s="1"/>
  <c r="A92" i="83" s="1"/>
  <c r="A93" i="83" s="1"/>
  <c r="A94" i="83" s="1"/>
  <c r="A95" i="83" s="1"/>
  <c r="A96" i="83" s="1"/>
  <c r="A97" i="83" s="1"/>
  <c r="A98" i="83" s="1"/>
  <c r="G20" i="50" l="1"/>
  <c r="G57" i="83"/>
  <c r="F57" i="83"/>
  <c r="E57" i="83"/>
  <c r="D57" i="83"/>
  <c r="E55" i="83"/>
  <c r="F55" i="83"/>
  <c r="G55" i="83"/>
  <c r="H55" i="83"/>
  <c r="D55" i="83"/>
  <c r="C21" i="88"/>
  <c r="C135" i="64"/>
  <c r="C17" i="81"/>
  <c r="C81" i="82"/>
  <c r="C68" i="60"/>
  <c r="C110" i="91"/>
  <c r="C81" i="80"/>
  <c r="C92" i="59"/>
  <c r="C69" i="89"/>
  <c r="C82" i="87"/>
  <c r="C51" i="85"/>
  <c r="C66" i="84"/>
  <c r="C210" i="57"/>
  <c r="C394" i="78"/>
  <c r="C72" i="56"/>
  <c r="C185" i="55"/>
  <c r="C77" i="72"/>
  <c r="C99" i="71"/>
  <c r="C119" i="54"/>
  <c r="C93" i="76"/>
  <c r="C68" i="86"/>
  <c r="C65" i="65"/>
  <c r="C68" i="53"/>
  <c r="C88" i="70"/>
  <c r="C59" i="69"/>
  <c r="C98" i="52"/>
  <c r="C33" i="74"/>
  <c r="I135" i="64"/>
  <c r="N17" i="81"/>
  <c r="N81" i="82"/>
  <c r="N68" i="60"/>
  <c r="N110" i="91"/>
  <c r="N81" i="80"/>
  <c r="N92" i="59"/>
  <c r="N69" i="89"/>
  <c r="N82" i="87"/>
  <c r="N51" i="85"/>
  <c r="N66" i="84"/>
  <c r="N210" i="57"/>
  <c r="N394" i="78"/>
  <c r="N72" i="56"/>
  <c r="N185" i="55"/>
  <c r="N77" i="72"/>
  <c r="N99" i="71"/>
  <c r="N119" i="54"/>
  <c r="N93" i="76"/>
  <c r="N68" i="86"/>
  <c r="N65" i="65"/>
  <c r="N68" i="53"/>
  <c r="N88" i="70"/>
  <c r="N59" i="69"/>
  <c r="N98" i="52"/>
  <c r="N33" i="74"/>
  <c r="C120" i="66"/>
  <c r="C114" i="68"/>
  <c r="C44" i="13"/>
  <c r="F23" i="82"/>
  <c r="H22" i="82" s="1"/>
  <c r="F40" i="82" s="1" a="1"/>
  <c r="F40" i="82" s="1"/>
  <c r="D59" i="82" s="1"/>
  <c r="E90" i="76"/>
  <c r="E88" i="76"/>
  <c r="E86" i="76"/>
  <c r="E84" i="76"/>
  <c r="E82" i="76"/>
  <c r="C67" i="76"/>
  <c r="C68" i="76" s="1"/>
  <c r="C69" i="76" s="1"/>
  <c r="C70" i="76" s="1"/>
  <c r="C71" i="76" s="1"/>
  <c r="C72" i="76" s="1"/>
  <c r="C73" i="76" s="1"/>
  <c r="C74" i="76" s="1"/>
  <c r="E73" i="76"/>
  <c r="C53" i="76"/>
  <c r="C54" i="76" s="1"/>
  <c r="C55" i="76" s="1"/>
  <c r="C56" i="76" s="1"/>
  <c r="C57" i="76" s="1"/>
  <c r="E56" i="76"/>
  <c r="C79" i="82"/>
  <c r="C66" i="60"/>
  <c r="C49" i="91"/>
  <c r="C32" i="80"/>
  <c r="C58" i="59"/>
  <c r="H21" i="25"/>
  <c r="H28" i="25"/>
  <c r="H31" i="25"/>
  <c r="E75" i="64"/>
  <c r="H102" i="66"/>
  <c r="H103" i="66"/>
  <c r="H104" i="66"/>
  <c r="H105" i="66"/>
  <c r="H106" i="66"/>
  <c r="H107" i="66"/>
  <c r="H108" i="66"/>
  <c r="H109" i="66"/>
  <c r="H110" i="66"/>
  <c r="H111" i="66"/>
  <c r="H112" i="66"/>
  <c r="H113" i="66"/>
  <c r="D112" i="66"/>
  <c r="D111" i="66" s="1"/>
  <c r="D110" i="66" s="1"/>
  <c r="D109" i="66" s="1"/>
  <c r="D108" i="66" s="1"/>
  <c r="D107" i="66" s="1"/>
  <c r="D106" i="66" s="1"/>
  <c r="D105" i="66" s="1"/>
  <c r="D104" i="66" s="1"/>
  <c r="D103" i="66" s="1"/>
  <c r="D102" i="66" s="1"/>
  <c r="D101" i="66" s="1"/>
  <c r="H101" i="66"/>
  <c r="Q47" i="29"/>
  <c r="E104" i="64"/>
  <c r="H53" i="25"/>
  <c r="H54" i="25" s="1"/>
  <c r="H55" i="25" s="1"/>
  <c r="H56" i="25" s="1"/>
  <c r="H57" i="25" s="1"/>
  <c r="H58" i="25" s="1"/>
  <c r="H59" i="25" s="1"/>
  <c r="H60" i="25" s="1"/>
  <c r="H61" i="25" s="1"/>
  <c r="F53" i="89"/>
  <c r="G53" i="89" s="1"/>
  <c r="F55" i="89"/>
  <c r="F68" i="72"/>
  <c r="G68" i="72"/>
  <c r="H68" i="72"/>
  <c r="I68" i="72"/>
  <c r="C27" i="91"/>
  <c r="C17" i="91"/>
  <c r="C14" i="91"/>
  <c r="C43" i="59"/>
  <c r="Q62" i="29"/>
  <c r="D62" i="29"/>
  <c r="C10" i="81"/>
  <c r="E97" i="64"/>
  <c r="E105" i="64"/>
  <c r="E102" i="64"/>
  <c r="E101" i="64"/>
  <c r="I13" i="64"/>
  <c r="I31" i="64"/>
  <c r="Q40" i="29"/>
  <c r="Q45" i="29"/>
  <c r="Q44" i="29"/>
  <c r="Q48" i="29"/>
  <c r="B13" i="83"/>
  <c r="B14" i="83" s="1"/>
  <c r="B15" i="83" s="1"/>
  <c r="B16" i="83" s="1"/>
  <c r="B17" i="83" s="1"/>
  <c r="B18" i="83" s="1"/>
  <c r="B19" i="83" s="1"/>
  <c r="B20" i="83" s="1"/>
  <c r="B21" i="83" s="1"/>
  <c r="B22" i="83" s="1"/>
  <c r="B23" i="83" s="1"/>
  <c r="B24" i="83" s="1"/>
  <c r="B25" i="83" s="1"/>
  <c r="B26" i="83" s="1"/>
  <c r="B27" i="83" s="1"/>
  <c r="B28" i="83" s="1"/>
  <c r="B29" i="83" s="1"/>
  <c r="B30" i="83" s="1"/>
  <c r="B31" i="83" s="1"/>
  <c r="B32" i="83" s="1"/>
  <c r="B33" i="83" s="1"/>
  <c r="B34" i="83" s="1"/>
  <c r="B35" i="83" s="1"/>
  <c r="B36" i="83" s="1"/>
  <c r="B37" i="83" s="1"/>
  <c r="B38" i="83" s="1"/>
  <c r="B39" i="83" s="1"/>
  <c r="B40" i="83" s="1"/>
  <c r="B41" i="83" s="1"/>
  <c r="B42" i="83" s="1"/>
  <c r="B43" i="83" s="1"/>
  <c r="B44" i="83" s="1"/>
  <c r="B45" i="83" s="1"/>
  <c r="B46" i="83" s="1"/>
  <c r="B47" i="83" s="1"/>
  <c r="B48" i="83" s="1"/>
  <c r="C34" i="91"/>
  <c r="C35" i="91"/>
  <c r="C36" i="91"/>
  <c r="C37" i="91"/>
  <c r="C38" i="91"/>
  <c r="C39" i="91"/>
  <c r="C40" i="91"/>
  <c r="C41" i="91"/>
  <c r="C42" i="91"/>
  <c r="C43" i="91"/>
  <c r="C44" i="91"/>
  <c r="C45" i="91"/>
  <c r="C46" i="91"/>
  <c r="C47" i="91"/>
  <c r="C33" i="91"/>
  <c r="E32" i="91"/>
  <c r="F32" i="91"/>
  <c r="G32" i="91"/>
  <c r="H32" i="91"/>
  <c r="I32" i="91"/>
  <c r="J32" i="91"/>
  <c r="K32" i="91"/>
  <c r="L32" i="91"/>
  <c r="M32" i="91"/>
  <c r="N32" i="91"/>
  <c r="D32" i="91"/>
  <c r="F10" i="81"/>
  <c r="G57" i="91"/>
  <c r="G58" i="91" s="1"/>
  <c r="E92" i="91"/>
  <c r="G92" i="91"/>
  <c r="E103" i="91" s="1"/>
  <c r="E107" i="91" s="1"/>
  <c r="L10" i="81" s="1"/>
  <c r="H10" i="81" s="1"/>
  <c r="I92" i="91"/>
  <c r="K92" i="91"/>
  <c r="E68" i="91"/>
  <c r="E73" i="91" s="1"/>
  <c r="E69" i="91"/>
  <c r="E70" i="91"/>
  <c r="E71" i="91"/>
  <c r="G68" i="91"/>
  <c r="G73" i="91" s="1"/>
  <c r="G82" i="91" s="1"/>
  <c r="G69" i="91"/>
  <c r="G70" i="91"/>
  <c r="G71" i="91"/>
  <c r="I68" i="91"/>
  <c r="I69" i="91"/>
  <c r="I70" i="91"/>
  <c r="I71" i="91"/>
  <c r="K68" i="91"/>
  <c r="K69" i="91"/>
  <c r="K70" i="91"/>
  <c r="K71" i="91"/>
  <c r="E105" i="91"/>
  <c r="C8" i="91"/>
  <c r="H60" i="91"/>
  <c r="L63" i="91"/>
  <c r="H57" i="91"/>
  <c r="F63" i="91"/>
  <c r="H58" i="91"/>
  <c r="H63" i="91"/>
  <c r="H59" i="91"/>
  <c r="J63" i="91" s="1"/>
  <c r="K73" i="91"/>
  <c r="D64" i="91"/>
  <c r="K96" i="91"/>
  <c r="K98" i="91" s="1"/>
  <c r="H46" i="91" s="1"/>
  <c r="D65" i="91"/>
  <c r="I96" i="91"/>
  <c r="I98" i="91" s="1"/>
  <c r="H44" i="91" s="1"/>
  <c r="E96" i="91"/>
  <c r="E98" i="91" s="1"/>
  <c r="H40" i="91" s="1"/>
  <c r="K94" i="91"/>
  <c r="I94" i="91"/>
  <c r="G94" i="91"/>
  <c r="E94" i="91"/>
  <c r="D66" i="91"/>
  <c r="D67" i="91"/>
  <c r="G110" i="91"/>
  <c r="G112" i="91"/>
  <c r="G111" i="91"/>
  <c r="D59" i="83"/>
  <c r="D54" i="83"/>
  <c r="D53" i="83"/>
  <c r="D12" i="83"/>
  <c r="D13" i="83"/>
  <c r="D14" i="83"/>
  <c r="D15" i="83"/>
  <c r="D16" i="83"/>
  <c r="D17" i="83"/>
  <c r="D18" i="83"/>
  <c r="D19" i="83"/>
  <c r="D20" i="83"/>
  <c r="D21" i="83"/>
  <c r="D23" i="83"/>
  <c r="D24" i="83"/>
  <c r="D25" i="83"/>
  <c r="D26" i="83"/>
  <c r="D27" i="83"/>
  <c r="D32" i="83"/>
  <c r="D34" i="83"/>
  <c r="D36" i="83"/>
  <c r="D37" i="83"/>
  <c r="D38" i="83"/>
  <c r="D39" i="83"/>
  <c r="D41" i="83"/>
  <c r="D44" i="83"/>
  <c r="D48" i="83"/>
  <c r="D49" i="83"/>
  <c r="D50" i="83"/>
  <c r="D51" i="83"/>
  <c r="B49" i="83"/>
  <c r="B50" i="83" s="1"/>
  <c r="B51" i="83" s="1"/>
  <c r="B52" i="83" s="1"/>
  <c r="B53" i="83" s="1"/>
  <c r="G72" i="34"/>
  <c r="E23" i="83" s="1"/>
  <c r="E54" i="83"/>
  <c r="L43" i="83" s="1"/>
  <c r="E13" i="83"/>
  <c r="E14" i="83"/>
  <c r="E15" i="83"/>
  <c r="E16" i="83"/>
  <c r="L32" i="83" s="1"/>
  <c r="E17" i="83"/>
  <c r="E18" i="83"/>
  <c r="E19" i="83"/>
  <c r="E20" i="83"/>
  <c r="E21" i="83"/>
  <c r="E24" i="83"/>
  <c r="E25" i="83"/>
  <c r="E26" i="83"/>
  <c r="E27" i="83"/>
  <c r="E32" i="83"/>
  <c r="E34" i="83"/>
  <c r="E37" i="83"/>
  <c r="E39" i="83"/>
  <c r="E44" i="83"/>
  <c r="E48" i="83"/>
  <c r="E50" i="83"/>
  <c r="E51" i="83"/>
  <c r="H72" i="34"/>
  <c r="F23" i="83" s="1"/>
  <c r="F14" i="83"/>
  <c r="F15" i="83"/>
  <c r="F17" i="83"/>
  <c r="F18" i="83"/>
  <c r="F19" i="83"/>
  <c r="F20" i="83"/>
  <c r="F24" i="83"/>
  <c r="F25" i="83"/>
  <c r="F26" i="83"/>
  <c r="F27" i="83"/>
  <c r="F32" i="83"/>
  <c r="F37" i="83"/>
  <c r="F44" i="83"/>
  <c r="F51" i="83"/>
  <c r="I72" i="34"/>
  <c r="G23" i="83" s="1"/>
  <c r="G15" i="83"/>
  <c r="G17" i="83"/>
  <c r="G18" i="83"/>
  <c r="G19" i="83"/>
  <c r="G20" i="83"/>
  <c r="G24" i="83"/>
  <c r="G26" i="83"/>
  <c r="G27" i="83"/>
  <c r="G32" i="83"/>
  <c r="G37" i="83"/>
  <c r="G44" i="83"/>
  <c r="J72" i="34"/>
  <c r="H23" i="83" s="1"/>
  <c r="H18" i="83"/>
  <c r="H19" i="83"/>
  <c r="H20" i="83"/>
  <c r="H24" i="83"/>
  <c r="H27" i="83"/>
  <c r="H32" i="83"/>
  <c r="K72" i="34"/>
  <c r="I23" i="83" s="1"/>
  <c r="P53" i="83" s="1"/>
  <c r="I19" i="83"/>
  <c r="I20" i="83"/>
  <c r="I24" i="83"/>
  <c r="I27" i="83"/>
  <c r="I32" i="83"/>
  <c r="R11" i="83"/>
  <c r="S11" i="83" s="1"/>
  <c r="T11" i="83" s="1"/>
  <c r="V57" i="83"/>
  <c r="C64" i="83"/>
  <c r="Q5" i="25"/>
  <c r="Q4" i="25"/>
  <c r="Q3" i="25"/>
  <c r="G71" i="59"/>
  <c r="J63" i="59"/>
  <c r="J64" i="59"/>
  <c r="J65" i="59"/>
  <c r="J66" i="59"/>
  <c r="J67" i="59"/>
  <c r="H17" i="72"/>
  <c r="I55" i="72"/>
  <c r="H55" i="72"/>
  <c r="G55" i="72"/>
  <c r="F55" i="72"/>
  <c r="G38" i="72"/>
  <c r="G40" i="72" s="1"/>
  <c r="H38" i="72"/>
  <c r="I38" i="72"/>
  <c r="F38" i="72"/>
  <c r="G57" i="72"/>
  <c r="C35" i="72"/>
  <c r="C36" i="72" s="1"/>
  <c r="C37" i="72" s="1"/>
  <c r="C38" i="72" s="1"/>
  <c r="C39" i="72" s="1"/>
  <c r="C40" i="72" s="1"/>
  <c r="I34" i="64"/>
  <c r="G24" i="89"/>
  <c r="G25" i="89"/>
  <c r="G26" i="89"/>
  <c r="G27" i="89"/>
  <c r="G28" i="89"/>
  <c r="Q57" i="29"/>
  <c r="V52" i="83"/>
  <c r="G69" i="89"/>
  <c r="G71" i="89"/>
  <c r="G70" i="89"/>
  <c r="J69" i="59"/>
  <c r="C79" i="59" s="1"/>
  <c r="E61" i="59"/>
  <c r="E60" i="59"/>
  <c r="G44" i="82"/>
  <c r="G52" i="82" s="1"/>
  <c r="D62" i="82" s="1"/>
  <c r="G45" i="82"/>
  <c r="G46" i="82"/>
  <c r="G47" i="82"/>
  <c r="G48" i="82"/>
  <c r="G49" i="82"/>
  <c r="G50" i="82"/>
  <c r="F43" i="82"/>
  <c r="I62" i="59"/>
  <c r="G64" i="59"/>
  <c r="G65" i="59"/>
  <c r="G66" i="59" s="1"/>
  <c r="G67" i="59" s="1"/>
  <c r="G92" i="59"/>
  <c r="G93" i="59"/>
  <c r="G94" i="59"/>
  <c r="L47" i="59"/>
  <c r="L48" i="59" s="1"/>
  <c r="L49" i="59" s="1"/>
  <c r="L50" i="59" s="1"/>
  <c r="Q25" i="29"/>
  <c r="I126" i="64"/>
  <c r="I125" i="64"/>
  <c r="Q68" i="29"/>
  <c r="C67" i="29"/>
  <c r="C59" i="29"/>
  <c r="C53" i="29"/>
  <c r="C29" i="29"/>
  <c r="C8" i="29"/>
  <c r="V58" i="83"/>
  <c r="G21" i="88"/>
  <c r="G23" i="88"/>
  <c r="G22" i="88"/>
  <c r="C79" i="71"/>
  <c r="C80" i="71" s="1"/>
  <c r="C81" i="71" s="1"/>
  <c r="C82" i="71" s="1"/>
  <c r="C83" i="71" s="1"/>
  <c r="C84" i="71" s="1"/>
  <c r="C85" i="71" s="1"/>
  <c r="C86" i="71" s="1"/>
  <c r="C87" i="71" s="1"/>
  <c r="C88" i="71" s="1"/>
  <c r="C89" i="71" s="1"/>
  <c r="C90" i="71" s="1"/>
  <c r="C91" i="71" s="1"/>
  <c r="C92" i="71" s="1"/>
  <c r="C93" i="71" s="1"/>
  <c r="C94" i="71" s="1"/>
  <c r="C95" i="71" s="1"/>
  <c r="C96" i="71" s="1"/>
  <c r="C97" i="71" s="1"/>
  <c r="F81" i="71"/>
  <c r="F82" i="71"/>
  <c r="F83" i="71" s="1"/>
  <c r="F84" i="71" s="1"/>
  <c r="F85" i="71"/>
  <c r="F86" i="71"/>
  <c r="F87" i="71" s="1"/>
  <c r="F88" i="71" s="1"/>
  <c r="F89" i="71" s="1"/>
  <c r="F90" i="71"/>
  <c r="F91" i="71" s="1"/>
  <c r="F80" i="71"/>
  <c r="D54" i="71"/>
  <c r="D53" i="71"/>
  <c r="C54" i="71"/>
  <c r="C55" i="71" s="1"/>
  <c r="C56" i="71" s="1"/>
  <c r="H15" i="72"/>
  <c r="D95" i="71"/>
  <c r="C12" i="81"/>
  <c r="C11" i="81"/>
  <c r="C9" i="81"/>
  <c r="D64" i="29"/>
  <c r="D63" i="29"/>
  <c r="D61" i="29"/>
  <c r="C8" i="81"/>
  <c r="D60" i="29"/>
  <c r="H54" i="82"/>
  <c r="E8" i="63"/>
  <c r="E12" i="63" s="1"/>
  <c r="F8" i="63"/>
  <c r="F12" i="63"/>
  <c r="G8" i="63"/>
  <c r="G10" i="63" s="1"/>
  <c r="G9" i="63"/>
  <c r="G13" i="63" s="1"/>
  <c r="G12" i="63"/>
  <c r="D14" i="63"/>
  <c r="D16" i="63" s="1"/>
  <c r="H14" i="63"/>
  <c r="H17" i="63" s="1"/>
  <c r="D17" i="63"/>
  <c r="D15" i="63"/>
  <c r="G78" i="80"/>
  <c r="E36" i="80" s="1"/>
  <c r="D28" i="80" s="1"/>
  <c r="M51" i="80"/>
  <c r="N68" i="80" s="1"/>
  <c r="N70" i="80" s="1"/>
  <c r="M73" i="80" s="1"/>
  <c r="M52" i="80"/>
  <c r="E57" i="80"/>
  <c r="E56" i="80"/>
  <c r="F34" i="80"/>
  <c r="D66" i="80" s="1"/>
  <c r="F12" i="81"/>
  <c r="C14" i="82"/>
  <c r="C32" i="60"/>
  <c r="F9" i="81"/>
  <c r="C9" i="80"/>
  <c r="F8" i="81"/>
  <c r="C30" i="59"/>
  <c r="D56" i="29"/>
  <c r="D55" i="29"/>
  <c r="D54" i="29"/>
  <c r="D138" i="64"/>
  <c r="D137" i="64"/>
  <c r="D136" i="64"/>
  <c r="V56" i="83"/>
  <c r="V59" i="83"/>
  <c r="V30" i="83"/>
  <c r="V29" i="83"/>
  <c r="V28" i="83"/>
  <c r="V13" i="83"/>
  <c r="V14" i="83"/>
  <c r="V15" i="83"/>
  <c r="V16" i="83"/>
  <c r="V17" i="83"/>
  <c r="V18" i="83"/>
  <c r="V19" i="83"/>
  <c r="V20" i="83"/>
  <c r="V21" i="83"/>
  <c r="V22" i="83"/>
  <c r="V23" i="83"/>
  <c r="V24" i="83"/>
  <c r="V25" i="83"/>
  <c r="V26" i="83"/>
  <c r="V27" i="83"/>
  <c r="V31" i="83"/>
  <c r="V32" i="83"/>
  <c r="V33" i="83"/>
  <c r="V34" i="83"/>
  <c r="V35" i="83"/>
  <c r="V36" i="83"/>
  <c r="V37" i="83"/>
  <c r="V38" i="83"/>
  <c r="V39" i="83"/>
  <c r="V40" i="83"/>
  <c r="V41" i="83"/>
  <c r="V42" i="83"/>
  <c r="V43" i="83"/>
  <c r="V44" i="83"/>
  <c r="V45" i="83"/>
  <c r="V46" i="83"/>
  <c r="V47" i="83"/>
  <c r="V48" i="83"/>
  <c r="V49" i="83"/>
  <c r="V50" i="83"/>
  <c r="V51" i="83"/>
  <c r="V53" i="83"/>
  <c r="V54" i="83"/>
  <c r="V55" i="83"/>
  <c r="V12" i="83"/>
  <c r="I107" i="64"/>
  <c r="E112" i="64"/>
  <c r="I10" i="64"/>
  <c r="I105" i="64"/>
  <c r="E67" i="64"/>
  <c r="N65" i="87"/>
  <c r="F77" i="87"/>
  <c r="E39" i="87"/>
  <c r="O65" i="87"/>
  <c r="D39" i="85"/>
  <c r="D14" i="85"/>
  <c r="C13" i="85"/>
  <c r="C14" i="85" s="1"/>
  <c r="C15" i="85" s="1"/>
  <c r="C16" i="85" s="1"/>
  <c r="C17" i="85" s="1"/>
  <c r="C18" i="85" s="1"/>
  <c r="C19" i="85" s="1"/>
  <c r="C20" i="85" s="1"/>
  <c r="C21" i="85" s="1"/>
  <c r="C22" i="85" s="1"/>
  <c r="C23" i="85" s="1"/>
  <c r="C24" i="85" s="1"/>
  <c r="G14" i="85"/>
  <c r="E43" i="85"/>
  <c r="E44" i="85"/>
  <c r="E45" i="85"/>
  <c r="E46" i="85"/>
  <c r="E47" i="85"/>
  <c r="E48" i="85"/>
  <c r="E49" i="85"/>
  <c r="E42" i="85"/>
  <c r="C27" i="87"/>
  <c r="C28" i="87" s="1"/>
  <c r="C29" i="87" s="1"/>
  <c r="C30" i="87" s="1"/>
  <c r="C31" i="87" s="1"/>
  <c r="C32" i="87" s="1"/>
  <c r="C33" i="87" s="1"/>
  <c r="C34" i="87" s="1"/>
  <c r="C35" i="87" s="1"/>
  <c r="C36" i="87" s="1"/>
  <c r="C37" i="87" s="1"/>
  <c r="C38" i="87" s="1"/>
  <c r="C39" i="87" s="1"/>
  <c r="E34" i="87"/>
  <c r="Q56" i="29"/>
  <c r="G82" i="87"/>
  <c r="G84" i="87"/>
  <c r="G83" i="87"/>
  <c r="D121" i="78"/>
  <c r="F95" i="78"/>
  <c r="F96" i="78"/>
  <c r="F97" i="78"/>
  <c r="F94" i="78"/>
  <c r="D100" i="78" s="1"/>
  <c r="G70" i="78"/>
  <c r="G35" i="78"/>
  <c r="L19" i="83"/>
  <c r="D69" i="71"/>
  <c r="D55" i="71"/>
  <c r="D32" i="71"/>
  <c r="D31" i="71"/>
  <c r="D30" i="71"/>
  <c r="E95" i="78"/>
  <c r="E96" i="78"/>
  <c r="E97" i="78"/>
  <c r="E94" i="78"/>
  <c r="C87" i="78"/>
  <c r="C88" i="78"/>
  <c r="C89" i="78"/>
  <c r="C90" i="78" s="1"/>
  <c r="C91" i="78" s="1"/>
  <c r="C92" i="78" s="1"/>
  <c r="C93" i="78" s="1"/>
  <c r="C94" i="78" s="1"/>
  <c r="C95" i="78" s="1"/>
  <c r="C96" i="78" s="1"/>
  <c r="C97" i="78" s="1"/>
  <c r="C98" i="78" s="1"/>
  <c r="C99" i="78" s="1"/>
  <c r="C100" i="78" s="1"/>
  <c r="C101" i="78" s="1"/>
  <c r="E52" i="78"/>
  <c r="E50" i="78"/>
  <c r="H19" i="78"/>
  <c r="C148" i="78"/>
  <c r="C149" i="78" s="1"/>
  <c r="C150" i="78" s="1"/>
  <c r="C151" i="78" s="1"/>
  <c r="C152" i="78" s="1"/>
  <c r="C153" i="78" s="1"/>
  <c r="C154" i="78" s="1"/>
  <c r="C155" i="78" s="1"/>
  <c r="C156" i="78" s="1"/>
  <c r="C157" i="78" s="1"/>
  <c r="C158" i="78" s="1"/>
  <c r="C159" i="78" s="1"/>
  <c r="C160" i="78" s="1"/>
  <c r="C161" i="78" s="1"/>
  <c r="C162" i="78" s="1"/>
  <c r="C163" i="78" s="1"/>
  <c r="F154" i="78"/>
  <c r="F155" i="78"/>
  <c r="F156" i="78"/>
  <c r="F157" i="78"/>
  <c r="F158" i="78"/>
  <c r="F159" i="78"/>
  <c r="F160" i="78"/>
  <c r="F161" i="78"/>
  <c r="F162" i="78"/>
  <c r="F153" i="78"/>
  <c r="F31" i="76"/>
  <c r="F33" i="76"/>
  <c r="F34" i="76"/>
  <c r="F35" i="76"/>
  <c r="F36" i="76"/>
  <c r="F37" i="76"/>
  <c r="F38" i="76"/>
  <c r="F39" i="76"/>
  <c r="F40" i="76"/>
  <c r="F41" i="76"/>
  <c r="F42" i="76"/>
  <c r="F32" i="76"/>
  <c r="E24" i="76"/>
  <c r="E22" i="76"/>
  <c r="E20" i="76"/>
  <c r="G70" i="86"/>
  <c r="G69" i="86"/>
  <c r="G68" i="86"/>
  <c r="J66" i="86"/>
  <c r="K66" i="86" s="1"/>
  <c r="H66" i="86" s="1"/>
  <c r="J65" i="86"/>
  <c r="G66" i="86"/>
  <c r="J64" i="86"/>
  <c r="J63" i="86"/>
  <c r="J62" i="86"/>
  <c r="G65" i="86"/>
  <c r="G64" i="86"/>
  <c r="G63" i="86"/>
  <c r="J61" i="86"/>
  <c r="J60" i="86"/>
  <c r="K60" i="86" s="1"/>
  <c r="H60" i="86" s="1"/>
  <c r="K62" i="86"/>
  <c r="H62" i="86" s="1"/>
  <c r="G62" i="86"/>
  <c r="G61" i="86"/>
  <c r="J59" i="86"/>
  <c r="K59" i="86" s="1"/>
  <c r="H59" i="86" s="1"/>
  <c r="G60" i="86"/>
  <c r="G59" i="86"/>
  <c r="C52" i="86"/>
  <c r="E41" i="86"/>
  <c r="E42" i="86" s="1"/>
  <c r="F42" i="86" s="1"/>
  <c r="F41" i="86"/>
  <c r="F40" i="86"/>
  <c r="D29" i="86"/>
  <c r="D17" i="86"/>
  <c r="D15" i="86"/>
  <c r="Q55" i="29"/>
  <c r="G51" i="85"/>
  <c r="G53" i="85"/>
  <c r="G52" i="85"/>
  <c r="Q54" i="29"/>
  <c r="H64" i="84"/>
  <c r="H63" i="84"/>
  <c r="F40" i="84"/>
  <c r="F39" i="84"/>
  <c r="G66" i="84"/>
  <c r="G68" i="84"/>
  <c r="G67" i="84"/>
  <c r="I95" i="64"/>
  <c r="I50" i="64"/>
  <c r="I6" i="64"/>
  <c r="E27" i="65"/>
  <c r="J27" i="65" s="1"/>
  <c r="E25" i="65"/>
  <c r="J25" i="65" s="1"/>
  <c r="D23" i="66"/>
  <c r="E61" i="64"/>
  <c r="E40" i="64"/>
  <c r="C34" i="82"/>
  <c r="C35" i="82"/>
  <c r="C36" i="82"/>
  <c r="C37" i="82"/>
  <c r="C38" i="82"/>
  <c r="C22" i="80"/>
  <c r="C23" i="80"/>
  <c r="C24" i="80"/>
  <c r="C25" i="80"/>
  <c r="C26" i="80"/>
  <c r="C27" i="80"/>
  <c r="C28" i="80"/>
  <c r="C29" i="80"/>
  <c r="C30" i="80"/>
  <c r="C29" i="82"/>
  <c r="C30" i="82"/>
  <c r="C31" i="82"/>
  <c r="C32" i="82"/>
  <c r="C33" i="82"/>
  <c r="C28" i="82"/>
  <c r="C27" i="82"/>
  <c r="C26" i="82"/>
  <c r="C25" i="82"/>
  <c r="C24" i="82"/>
  <c r="C23" i="82"/>
  <c r="C22" i="82"/>
  <c r="M21" i="82"/>
  <c r="L21" i="82"/>
  <c r="K21" i="82"/>
  <c r="J21" i="82"/>
  <c r="I21" i="82"/>
  <c r="H21" i="82"/>
  <c r="G21" i="82"/>
  <c r="F21" i="82"/>
  <c r="E21" i="82"/>
  <c r="D21" i="82"/>
  <c r="Q64" i="29"/>
  <c r="E34" i="64"/>
  <c r="E77" i="64"/>
  <c r="G81" i="82"/>
  <c r="G83" i="82"/>
  <c r="G82" i="82"/>
  <c r="M53" i="80"/>
  <c r="M54" i="80"/>
  <c r="M55" i="80"/>
  <c r="E15" i="63"/>
  <c r="Q65" i="29"/>
  <c r="E80" i="64"/>
  <c r="I98" i="64"/>
  <c r="G17" i="81"/>
  <c r="G19" i="81"/>
  <c r="G18" i="81"/>
  <c r="E62" i="64"/>
  <c r="C21" i="70"/>
  <c r="C22" i="70"/>
  <c r="C23" i="70" s="1"/>
  <c r="C24" i="70" s="1"/>
  <c r="H23" i="70"/>
  <c r="G81" i="70"/>
  <c r="C73" i="70"/>
  <c r="C74" i="70"/>
  <c r="C75" i="70" s="1"/>
  <c r="C76" i="70" s="1"/>
  <c r="C77" i="70" s="1"/>
  <c r="C78" i="70" s="1"/>
  <c r="C79" i="70" s="1"/>
  <c r="C80" i="70" s="1"/>
  <c r="C81" i="70" s="1"/>
  <c r="C82" i="70" s="1"/>
  <c r="G75" i="70"/>
  <c r="G78" i="70"/>
  <c r="C51" i="69"/>
  <c r="F12" i="69"/>
  <c r="E15" i="69" s="1"/>
  <c r="D28" i="69"/>
  <c r="D46" i="69"/>
  <c r="D49" i="66"/>
  <c r="D47" i="66"/>
  <c r="D45" i="66"/>
  <c r="I110" i="64"/>
  <c r="I16" i="64"/>
  <c r="E46" i="64"/>
  <c r="D32" i="66"/>
  <c r="D34" i="66"/>
  <c r="D64" i="66"/>
  <c r="D62" i="66"/>
  <c r="D60" i="66"/>
  <c r="D14" i="66"/>
  <c r="D12" i="66"/>
  <c r="D10" i="66"/>
  <c r="E110" i="68"/>
  <c r="I113" i="64"/>
  <c r="E117" i="64"/>
  <c r="I41" i="64"/>
  <c r="E18" i="64"/>
  <c r="E59" i="65"/>
  <c r="C53" i="59"/>
  <c r="M66" i="80"/>
  <c r="M65" i="80"/>
  <c r="M64" i="80"/>
  <c r="M63" i="80"/>
  <c r="M62" i="80"/>
  <c r="M61" i="80"/>
  <c r="M60" i="80"/>
  <c r="M59" i="80"/>
  <c r="M58" i="80"/>
  <c r="M57" i="80"/>
  <c r="M56" i="80"/>
  <c r="G44" i="80"/>
  <c r="C21" i="80"/>
  <c r="C20" i="80"/>
  <c r="C19" i="80"/>
  <c r="C18" i="80"/>
  <c r="C17" i="80"/>
  <c r="L16" i="80"/>
  <c r="K16" i="80"/>
  <c r="J16" i="80"/>
  <c r="I16" i="80"/>
  <c r="H16" i="80"/>
  <c r="G16" i="80"/>
  <c r="F16" i="80"/>
  <c r="E16" i="80"/>
  <c r="D16" i="80"/>
  <c r="C13" i="80"/>
  <c r="Q61" i="29"/>
  <c r="E66" i="64"/>
  <c r="E43" i="64"/>
  <c r="G81" i="80"/>
  <c r="E74" i="64"/>
  <c r="G83" i="80"/>
  <c r="G82" i="80"/>
  <c r="E37" i="64"/>
  <c r="E120" i="64"/>
  <c r="G62" i="70"/>
  <c r="H49" i="70"/>
  <c r="H36" i="70"/>
  <c r="H21" i="70"/>
  <c r="C112" i="68"/>
  <c r="G25" i="74"/>
  <c r="G23" i="74"/>
  <c r="G21" i="74"/>
  <c r="G19" i="74"/>
  <c r="H108" i="68"/>
  <c r="J92" i="68"/>
  <c r="G92" i="68"/>
  <c r="G74" i="68"/>
  <c r="G56" i="68"/>
  <c r="F88" i="66"/>
  <c r="G76" i="66"/>
  <c r="Q50" i="29"/>
  <c r="E108" i="64"/>
  <c r="I106" i="64"/>
  <c r="G394" i="78"/>
  <c r="G396" i="78"/>
  <c r="G395" i="78"/>
  <c r="I53" i="64"/>
  <c r="Q39" i="29"/>
  <c r="E96" i="64"/>
  <c r="I9" i="64"/>
  <c r="G93" i="76"/>
  <c r="G95" i="76"/>
  <c r="G94" i="76"/>
  <c r="Q38" i="29"/>
  <c r="I5" i="64"/>
  <c r="E95" i="64"/>
  <c r="Q32" i="29"/>
  <c r="E17" i="64"/>
  <c r="E88" i="64"/>
  <c r="G33" i="74"/>
  <c r="G35" i="74"/>
  <c r="G34" i="74"/>
  <c r="Q43" i="29"/>
  <c r="E100" i="64"/>
  <c r="I28" i="64"/>
  <c r="G77" i="72"/>
  <c r="G79" i="72"/>
  <c r="G78" i="72"/>
  <c r="Q42" i="29"/>
  <c r="I25" i="64"/>
  <c r="E99" i="64"/>
  <c r="G99" i="71"/>
  <c r="G101" i="71"/>
  <c r="G100" i="71"/>
  <c r="Q35" i="29"/>
  <c r="E63" i="64"/>
  <c r="E92" i="64"/>
  <c r="G88" i="70"/>
  <c r="G90" i="70"/>
  <c r="G89" i="70"/>
  <c r="Q34" i="29"/>
  <c r="E91" i="64"/>
  <c r="E58" i="64"/>
  <c r="G59" i="69"/>
  <c r="G61" i="69"/>
  <c r="G60" i="69"/>
  <c r="E86" i="64"/>
  <c r="E5" i="64"/>
  <c r="Q30" i="29"/>
  <c r="G114" i="68"/>
  <c r="G116" i="68"/>
  <c r="G115" i="68"/>
  <c r="N114" i="68"/>
  <c r="I47" i="64"/>
  <c r="E8" i="64"/>
  <c r="E87" i="64"/>
  <c r="G120" i="66"/>
  <c r="G122" i="66"/>
  <c r="G121" i="66"/>
  <c r="N120" i="66"/>
  <c r="Q31" i="29"/>
  <c r="Q37" i="29"/>
  <c r="E131" i="64"/>
  <c r="E94" i="64"/>
  <c r="G65" i="65"/>
  <c r="G67" i="65"/>
  <c r="G66" i="65"/>
  <c r="S4" i="25"/>
  <c r="I102" i="64"/>
  <c r="E16" i="56"/>
  <c r="I47" i="56"/>
  <c r="I48" i="56" s="1"/>
  <c r="I49" i="56" s="1"/>
  <c r="E47" i="56"/>
  <c r="E48" i="56" s="1"/>
  <c r="E49" i="56" s="1"/>
  <c r="E30" i="56"/>
  <c r="D64" i="53"/>
  <c r="C60" i="53"/>
  <c r="C61" i="53" s="1"/>
  <c r="C64" i="53"/>
  <c r="C43" i="53"/>
  <c r="C44" i="53" s="1"/>
  <c r="C45" i="53" s="1"/>
  <c r="C46" i="53" s="1"/>
  <c r="C47" i="53" s="1"/>
  <c r="C48" i="53" s="1"/>
  <c r="G60" i="53"/>
  <c r="F46" i="53"/>
  <c r="F48" i="53"/>
  <c r="F44" i="53"/>
  <c r="D16" i="53"/>
  <c r="D26" i="53"/>
  <c r="C24" i="53"/>
  <c r="C25" i="53" s="1"/>
  <c r="C26" i="53" s="1"/>
  <c r="C27" i="53" s="1"/>
  <c r="E49" i="64"/>
  <c r="E31" i="64"/>
  <c r="I40" i="64"/>
  <c r="I44" i="64"/>
  <c r="I38" i="64"/>
  <c r="I39" i="64"/>
  <c r="I37" i="64"/>
  <c r="E115" i="64"/>
  <c r="E70" i="64"/>
  <c r="E24" i="64"/>
  <c r="I122" i="64"/>
  <c r="I69" i="64"/>
  <c r="E83" i="64"/>
  <c r="I118" i="64"/>
  <c r="E125" i="64"/>
  <c r="E76" i="64"/>
  <c r="E73" i="64"/>
  <c r="I77" i="64"/>
  <c r="I88" i="64"/>
  <c r="I85" i="64"/>
  <c r="I76" i="64"/>
  <c r="I75" i="64"/>
  <c r="E14" i="64"/>
  <c r="I66" i="64"/>
  <c r="I74" i="64"/>
  <c r="I62" i="64"/>
  <c r="I59" i="64"/>
  <c r="I73" i="64"/>
  <c r="I72" i="64"/>
  <c r="I19" i="64"/>
  <c r="E128" i="64"/>
  <c r="E124" i="64"/>
  <c r="E126" i="64"/>
  <c r="E127" i="64"/>
  <c r="I71" i="64"/>
  <c r="E116" i="64"/>
  <c r="I70" i="64"/>
  <c r="E27" i="64"/>
  <c r="I68" i="64"/>
  <c r="E21" i="64"/>
  <c r="I67" i="64"/>
  <c r="I65" i="64"/>
  <c r="E11" i="64"/>
  <c r="I56" i="64"/>
  <c r="E106" i="64"/>
  <c r="I82" i="64"/>
  <c r="I81" i="64"/>
  <c r="I80" i="64"/>
  <c r="I92" i="64"/>
  <c r="I91" i="64"/>
  <c r="I117" i="64"/>
  <c r="I116" i="64"/>
  <c r="I119" i="64"/>
  <c r="E52" i="64"/>
  <c r="Q71" i="29"/>
  <c r="I129" i="64"/>
  <c r="I101" i="64"/>
  <c r="I22" i="64"/>
  <c r="E121" i="64"/>
  <c r="E109" i="64"/>
  <c r="E107" i="64"/>
  <c r="E103" i="64"/>
  <c r="E98" i="64"/>
  <c r="E90" i="64"/>
  <c r="E55" i="64"/>
  <c r="E30" i="64"/>
  <c r="C70" i="29"/>
  <c r="E93" i="64"/>
  <c r="E89" i="64"/>
  <c r="C11" i="47"/>
  <c r="C10" i="47"/>
  <c r="Q63" i="29"/>
  <c r="Q60" i="29"/>
  <c r="Q51" i="29"/>
  <c r="Q49" i="29"/>
  <c r="Q46" i="29"/>
  <c r="Q41" i="29"/>
  <c r="Q36" i="29"/>
  <c r="Q33" i="29"/>
  <c r="Q14" i="29"/>
  <c r="Q23" i="29"/>
  <c r="Q19" i="29"/>
  <c r="G68" i="60"/>
  <c r="G210" i="57"/>
  <c r="G72" i="56"/>
  <c r="G185" i="55"/>
  <c r="G119" i="54"/>
  <c r="G68" i="53"/>
  <c r="G98" i="52"/>
  <c r="G187" i="55"/>
  <c r="G186" i="55"/>
  <c r="G70" i="60"/>
  <c r="G69" i="60"/>
  <c r="G212" i="57"/>
  <c r="G211" i="57"/>
  <c r="G74" i="56"/>
  <c r="G73" i="56"/>
  <c r="G121" i="54"/>
  <c r="G120" i="54"/>
  <c r="G70" i="53"/>
  <c r="G69" i="53"/>
  <c r="G100" i="52"/>
  <c r="G99" i="52"/>
  <c r="H8" i="63"/>
  <c r="H9" i="63" s="1"/>
  <c r="H13" i="63" s="1"/>
  <c r="C64" i="60"/>
  <c r="C63" i="60"/>
  <c r="C62" i="60"/>
  <c r="C61" i="60"/>
  <c r="C60" i="60"/>
  <c r="C59" i="60"/>
  <c r="C58" i="60"/>
  <c r="C57" i="60"/>
  <c r="C56" i="60"/>
  <c r="C55" i="60"/>
  <c r="C54" i="60"/>
  <c r="C53" i="60"/>
  <c r="K52" i="60"/>
  <c r="C52" i="60"/>
  <c r="C51" i="60"/>
  <c r="C50" i="60"/>
  <c r="C49" i="60"/>
  <c r="C48" i="60"/>
  <c r="C47" i="60"/>
  <c r="C46" i="60"/>
  <c r="C45" i="60"/>
  <c r="C44" i="60"/>
  <c r="C43" i="60"/>
  <c r="L42" i="60"/>
  <c r="K42" i="60"/>
  <c r="J42" i="60"/>
  <c r="I42" i="60"/>
  <c r="H42" i="60"/>
  <c r="G42" i="60"/>
  <c r="F42" i="60"/>
  <c r="E42" i="60"/>
  <c r="D42" i="60"/>
  <c r="C39" i="60"/>
  <c r="C36" i="60"/>
  <c r="C26" i="60"/>
  <c r="C56" i="59"/>
  <c r="C55" i="59"/>
  <c r="C54" i="59"/>
  <c r="C52" i="59"/>
  <c r="C51" i="59"/>
  <c r="C50" i="59"/>
  <c r="C49" i="59"/>
  <c r="C48" i="59"/>
  <c r="C47" i="59"/>
  <c r="C46" i="59"/>
  <c r="K45" i="59"/>
  <c r="J45" i="59"/>
  <c r="I45" i="59"/>
  <c r="H45" i="59"/>
  <c r="G45" i="59"/>
  <c r="F45" i="59"/>
  <c r="E45" i="59"/>
  <c r="D45" i="59"/>
  <c r="F208" i="57"/>
  <c r="E190" i="57"/>
  <c r="E176" i="57"/>
  <c r="E159" i="57"/>
  <c r="E146" i="57"/>
  <c r="E131" i="57"/>
  <c r="E115" i="57"/>
  <c r="E99" i="57"/>
  <c r="E86" i="57"/>
  <c r="E72" i="57"/>
  <c r="E53" i="57"/>
  <c r="E38" i="57"/>
  <c r="E15" i="57"/>
  <c r="G183" i="55"/>
  <c r="G182" i="55"/>
  <c r="G181" i="55"/>
  <c r="D164" i="55"/>
  <c r="D163" i="55"/>
  <c r="D162" i="55"/>
  <c r="D161" i="55"/>
  <c r="G109" i="55"/>
  <c r="G108" i="55"/>
  <c r="G107" i="55"/>
  <c r="F92" i="55"/>
  <c r="F91" i="55"/>
  <c r="D71" i="55"/>
  <c r="F50" i="55"/>
  <c r="C20" i="55"/>
  <c r="C21" i="55" s="1"/>
  <c r="C22" i="55" s="1"/>
  <c r="C23" i="55" s="1"/>
  <c r="C24" i="55" s="1"/>
  <c r="M22" i="55"/>
  <c r="L22" i="55"/>
  <c r="K22" i="55"/>
  <c r="J22" i="55"/>
  <c r="J20" i="55"/>
  <c r="E112" i="54"/>
  <c r="E97" i="54"/>
  <c r="E77" i="54"/>
  <c r="E67" i="54"/>
  <c r="E55" i="54"/>
  <c r="E40" i="54"/>
  <c r="E26" i="54"/>
  <c r="E93" i="52"/>
  <c r="D78" i="52"/>
  <c r="D61" i="52"/>
  <c r="D49" i="52"/>
  <c r="H40" i="52"/>
  <c r="D28" i="52"/>
  <c r="D19" i="52"/>
  <c r="F65" i="56"/>
  <c r="F67" i="56"/>
  <c r="C2" i="63"/>
  <c r="D2" i="63"/>
  <c r="E2" i="63"/>
  <c r="K5" i="63" s="1"/>
  <c r="K8" i="63" s="1"/>
  <c r="L8" i="63" s="1"/>
  <c r="F2" i="63"/>
  <c r="B3" i="63"/>
  <c r="C3" i="63"/>
  <c r="D3" i="63"/>
  <c r="N6" i="63" s="1"/>
  <c r="O6" i="63" s="1"/>
  <c r="O9" i="63" s="1"/>
  <c r="E3" i="63"/>
  <c r="F3" i="63"/>
  <c r="G3" i="63"/>
  <c r="C5" i="63"/>
  <c r="G5" i="63"/>
  <c r="N5" i="63"/>
  <c r="O5" i="63"/>
  <c r="K6" i="63"/>
  <c r="L6" i="63" s="1"/>
  <c r="L9" i="63" s="1"/>
  <c r="D8" i="63"/>
  <c r="N8" i="63"/>
  <c r="O8" i="63" s="1"/>
  <c r="D9" i="63"/>
  <c r="D10" i="63"/>
  <c r="H10" i="63"/>
  <c r="H11" i="63"/>
  <c r="D12" i="63"/>
  <c r="H12" i="63"/>
  <c r="F15" i="63"/>
  <c r="G15" i="63"/>
  <c r="H15" i="63"/>
  <c r="B5" i="51"/>
  <c r="B6" i="51" s="1"/>
  <c r="D60" i="26"/>
  <c r="D59" i="26"/>
  <c r="D58" i="26"/>
  <c r="L3" i="51" s="1"/>
  <c r="D57" i="26"/>
  <c r="F57" i="26" s="1"/>
  <c r="D56" i="26"/>
  <c r="J3" i="51" s="1"/>
  <c r="I4" i="51"/>
  <c r="E24" i="26"/>
  <c r="J17" i="24"/>
  <c r="L9" i="24"/>
  <c r="L10" i="24"/>
  <c r="L11" i="24"/>
  <c r="L12" i="24"/>
  <c r="L13" i="24"/>
  <c r="O19" i="24"/>
  <c r="J20" i="24"/>
  <c r="B15" i="11"/>
  <c r="C18" i="2"/>
  <c r="C19" i="2"/>
  <c r="A45" i="11"/>
  <c r="B45" i="11" s="1"/>
  <c r="A44" i="11"/>
  <c r="B44" i="11" s="1"/>
  <c r="B40" i="11"/>
  <c r="A40" i="11"/>
  <c r="A49" i="11" s="1"/>
  <c r="A50" i="11" s="1"/>
  <c r="C10" i="49"/>
  <c r="C9" i="49"/>
  <c r="G22" i="50"/>
  <c r="G21" i="50"/>
  <c r="M20" i="50"/>
  <c r="C20" i="50"/>
  <c r="E39" i="49"/>
  <c r="E38" i="49"/>
  <c r="E37" i="49"/>
  <c r="L37" i="49"/>
  <c r="C37" i="49"/>
  <c r="C27" i="13"/>
  <c r="E27" i="13"/>
  <c r="E17" i="49"/>
  <c r="E16" i="49"/>
  <c r="C29" i="49"/>
  <c r="C35" i="49"/>
  <c r="O20" i="48"/>
  <c r="O19" i="48"/>
  <c r="N15" i="48"/>
  <c r="E3" i="48"/>
  <c r="E4" i="48"/>
  <c r="E5" i="48"/>
  <c r="F3" i="48" s="1"/>
  <c r="E6" i="48"/>
  <c r="E7" i="48"/>
  <c r="E8" i="48"/>
  <c r="E9" i="48"/>
  <c r="E10" i="48"/>
  <c r="E11" i="48"/>
  <c r="E12" i="48"/>
  <c r="F11" i="48" s="1"/>
  <c r="S5" i="48" s="1"/>
  <c r="E13" i="48"/>
  <c r="E14" i="48"/>
  <c r="E15" i="48"/>
  <c r="E16" i="48"/>
  <c r="E17" i="48"/>
  <c r="E18" i="48"/>
  <c r="R3" i="48"/>
  <c r="H4" i="48"/>
  <c r="O6" i="48"/>
  <c r="M18" i="48"/>
  <c r="J3" i="48"/>
  <c r="E30" i="13"/>
  <c r="C30" i="13"/>
  <c r="Q22" i="29"/>
  <c r="G39" i="47"/>
  <c r="G38" i="47"/>
  <c r="G37" i="47"/>
  <c r="C37" i="47"/>
  <c r="L37" i="47"/>
  <c r="G2" i="25"/>
  <c r="G3" i="25" s="1"/>
  <c r="G4" i="25" s="1"/>
  <c r="G5" i="25" s="1"/>
  <c r="G6" i="25" s="1"/>
  <c r="G7" i="25" s="1"/>
  <c r="G8" i="25" s="1"/>
  <c r="G9" i="25" s="1"/>
  <c r="G10" i="25" s="1"/>
  <c r="G11" i="25" s="1"/>
  <c r="G12" i="25" s="1"/>
  <c r="G13" i="25" s="1"/>
  <c r="G14" i="25" s="1"/>
  <c r="G15" i="25" s="1"/>
  <c r="G16" i="25" s="1"/>
  <c r="G17" i="25" s="1"/>
  <c r="G18" i="25" s="1"/>
  <c r="G19" i="25" s="1"/>
  <c r="C19" i="47"/>
  <c r="D19" i="47"/>
  <c r="E19" i="47"/>
  <c r="F19" i="47"/>
  <c r="D20" i="47"/>
  <c r="E20" i="47"/>
  <c r="F20" i="47"/>
  <c r="D21" i="47"/>
  <c r="E21" i="47"/>
  <c r="F21" i="47"/>
  <c r="D22" i="47"/>
  <c r="E22" i="47"/>
  <c r="F22" i="47"/>
  <c r="D23" i="47"/>
  <c r="E23" i="47"/>
  <c r="F23" i="47"/>
  <c r="D24" i="47"/>
  <c r="E24" i="47"/>
  <c r="F24" i="47"/>
  <c r="D25" i="47"/>
  <c r="E25" i="47"/>
  <c r="F25" i="47"/>
  <c r="D26" i="47"/>
  <c r="E26" i="47"/>
  <c r="F26" i="47"/>
  <c r="D27" i="47"/>
  <c r="E27" i="47"/>
  <c r="F27" i="47"/>
  <c r="D28" i="47"/>
  <c r="E28" i="47"/>
  <c r="F28" i="47"/>
  <c r="D29" i="47"/>
  <c r="E29" i="47"/>
  <c r="F29" i="47"/>
  <c r="D30" i="47"/>
  <c r="E30" i="47"/>
  <c r="F30" i="47"/>
  <c r="D31" i="47"/>
  <c r="E31" i="47"/>
  <c r="F31" i="47"/>
  <c r="D32" i="47"/>
  <c r="E32" i="47"/>
  <c r="F32" i="47"/>
  <c r="D33" i="47"/>
  <c r="E33" i="47"/>
  <c r="F33" i="47"/>
  <c r="D34" i="47"/>
  <c r="E34" i="47"/>
  <c r="F34" i="47"/>
  <c r="A4" i="48"/>
  <c r="A5" i="48" s="1"/>
  <c r="A6" i="48" s="1"/>
  <c r="A7" i="48" s="1"/>
  <c r="A8" i="48" s="1"/>
  <c r="A9" i="48" s="1"/>
  <c r="A10" i="48" s="1"/>
  <c r="A11" i="48" s="1"/>
  <c r="A12" i="48" s="1"/>
  <c r="A13" i="48" s="1"/>
  <c r="A14" i="48" s="1"/>
  <c r="A15" i="48" s="1"/>
  <c r="A16" i="48" s="1"/>
  <c r="A17" i="48" s="1"/>
  <c r="A18" i="48" s="1"/>
  <c r="F29" i="48"/>
  <c r="D7" i="23"/>
  <c r="F7" i="23"/>
  <c r="G7" i="23" s="1"/>
  <c r="I7" i="23"/>
  <c r="K7" i="23"/>
  <c r="J7" i="23" s="1"/>
  <c r="E7" i="23"/>
  <c r="C7" i="23"/>
  <c r="C11" i="13"/>
  <c r="E18" i="13"/>
  <c r="E19" i="13"/>
  <c r="E20" i="13"/>
  <c r="E21" i="13"/>
  <c r="D17" i="13" s="1"/>
  <c r="C9" i="13" s="1"/>
  <c r="E22" i="13"/>
  <c r="E23" i="13"/>
  <c r="E24" i="13"/>
  <c r="E25" i="13"/>
  <c r="E26" i="13"/>
  <c r="E28" i="13"/>
  <c r="E29" i="13"/>
  <c r="E31" i="13"/>
  <c r="E32" i="13"/>
  <c r="E33" i="13"/>
  <c r="M74" i="34"/>
  <c r="C21" i="35" s="1"/>
  <c r="B12" i="35"/>
  <c r="B13" i="35"/>
  <c r="B14" i="35"/>
  <c r="B15" i="35"/>
  <c r="B16" i="35"/>
  <c r="B17" i="35"/>
  <c r="B18" i="35"/>
  <c r="B19" i="35"/>
  <c r="B20" i="35"/>
  <c r="B21" i="35"/>
  <c r="B22" i="35"/>
  <c r="B23" i="35"/>
  <c r="A13" i="35"/>
  <c r="A15" i="35"/>
  <c r="A16" i="35"/>
  <c r="J77" i="30"/>
  <c r="C33" i="13"/>
  <c r="C32" i="13"/>
  <c r="C31" i="13"/>
  <c r="C29" i="13"/>
  <c r="C28" i="13"/>
  <c r="C26" i="13"/>
  <c r="C25" i="13"/>
  <c r="C24" i="13"/>
  <c r="C23" i="13"/>
  <c r="C22" i="13"/>
  <c r="C21" i="13"/>
  <c r="C20" i="13"/>
  <c r="C19" i="13"/>
  <c r="C18" i="13"/>
  <c r="C20" i="30"/>
  <c r="Q27" i="29"/>
  <c r="H73" i="29"/>
  <c r="C46" i="21"/>
  <c r="C128" i="43"/>
  <c r="C31" i="22"/>
  <c r="C147" i="34"/>
  <c r="C50" i="4"/>
  <c r="C81" i="26"/>
  <c r="C48" i="16"/>
  <c r="C69" i="2"/>
  <c r="D77" i="30"/>
  <c r="C42" i="3"/>
  <c r="C74" i="15"/>
  <c r="D51" i="19"/>
  <c r="C44" i="5"/>
  <c r="C56" i="1"/>
  <c r="F73" i="29"/>
  <c r="J50" i="19"/>
  <c r="Q16" i="29"/>
  <c r="Q10" i="29"/>
  <c r="Q26" i="29"/>
  <c r="Q24" i="29"/>
  <c r="Q21" i="29"/>
  <c r="Q20" i="29"/>
  <c r="Q18" i="29"/>
  <c r="Q17" i="29"/>
  <c r="Q15" i="29"/>
  <c r="Q13" i="29"/>
  <c r="Q12" i="29"/>
  <c r="Q11" i="29"/>
  <c r="Q9" i="29"/>
  <c r="Q6" i="29"/>
  <c r="Q5" i="29"/>
  <c r="J39" i="1"/>
  <c r="O31" i="22"/>
  <c r="E46" i="21"/>
  <c r="E128" i="43"/>
  <c r="G147" i="34"/>
  <c r="F50" i="4"/>
  <c r="F81" i="26"/>
  <c r="G48" i="16"/>
  <c r="H69" i="2"/>
  <c r="F42" i="3"/>
  <c r="G74" i="15"/>
  <c r="H51" i="19"/>
  <c r="I44" i="5"/>
  <c r="K56" i="1"/>
  <c r="M44" i="13"/>
  <c r="H75" i="33"/>
  <c r="H76" i="33"/>
  <c r="H77" i="33"/>
  <c r="O75" i="33"/>
  <c r="H74" i="29"/>
  <c r="H75" i="29"/>
  <c r="P73" i="29"/>
  <c r="M45" i="13"/>
  <c r="M46" i="13"/>
  <c r="J58" i="1"/>
  <c r="I45" i="5"/>
  <c r="I46" i="5"/>
  <c r="H52" i="19"/>
  <c r="H53" i="19"/>
  <c r="G75" i="15"/>
  <c r="G76" i="15"/>
  <c r="F43" i="3"/>
  <c r="F44" i="3"/>
  <c r="H70" i="2"/>
  <c r="H71" i="2"/>
  <c r="G49" i="16"/>
  <c r="G50" i="16"/>
  <c r="F82" i="26"/>
  <c r="F83" i="26"/>
  <c r="F51" i="4"/>
  <c r="F52" i="4"/>
  <c r="G148" i="34"/>
  <c r="G149" i="34"/>
  <c r="E130" i="43"/>
  <c r="E129" i="43"/>
  <c r="J79" i="30"/>
  <c r="J78" i="30"/>
  <c r="E47" i="21"/>
  <c r="O32" i="22"/>
  <c r="O33" i="22"/>
  <c r="C24" i="43"/>
  <c r="C16" i="26"/>
  <c r="L147" i="34"/>
  <c r="L128" i="43"/>
  <c r="F67" i="30"/>
  <c r="E2" i="28"/>
  <c r="E3" i="28"/>
  <c r="E4" i="28"/>
  <c r="E5" i="28"/>
  <c r="E6" i="28"/>
  <c r="E7" i="28"/>
  <c r="E8" i="28"/>
  <c r="E9" i="28"/>
  <c r="E10" i="28"/>
  <c r="E11" i="28"/>
  <c r="E12" i="28"/>
  <c r="E13" i="28"/>
  <c r="E14" i="28"/>
  <c r="E15" i="28"/>
  <c r="E16" i="28"/>
  <c r="E17" i="28"/>
  <c r="E18" i="28"/>
  <c r="E19" i="28"/>
  <c r="E1" i="28"/>
  <c r="I69" i="30"/>
  <c r="J69" i="30" s="1"/>
  <c r="K69" i="30" s="1"/>
  <c r="L69" i="30" s="1"/>
  <c r="M69" i="30" s="1"/>
  <c r="N69" i="30" s="1"/>
  <c r="O69" i="30" s="1"/>
  <c r="P69" i="30" s="1"/>
  <c r="Q69" i="30" s="1"/>
  <c r="R69" i="30" s="1"/>
  <c r="S69" i="30" s="1"/>
  <c r="T69" i="30" s="1"/>
  <c r="U69" i="30" s="1"/>
  <c r="V69" i="30" s="1"/>
  <c r="W69" i="30" s="1"/>
  <c r="H21" i="46"/>
  <c r="I21" i="46"/>
  <c r="G12" i="46"/>
  <c r="I12" i="46"/>
  <c r="K12" i="46"/>
  <c r="L12" i="46"/>
  <c r="M12" i="46"/>
  <c r="N12" i="46"/>
  <c r="P12" i="46"/>
  <c r="Q12" i="46"/>
  <c r="R12" i="46"/>
  <c r="S12" i="46"/>
  <c r="U12" i="46"/>
  <c r="V12" i="46"/>
  <c r="G13" i="46"/>
  <c r="G16" i="46" s="1"/>
  <c r="D7" i="46"/>
  <c r="V6" i="46"/>
  <c r="U6" i="46"/>
  <c r="T6" i="46"/>
  <c r="S6" i="46"/>
  <c r="R6" i="46"/>
  <c r="Q6" i="46"/>
  <c r="P6" i="46"/>
  <c r="O6" i="46"/>
  <c r="N6" i="46"/>
  <c r="M6" i="46"/>
  <c r="L6" i="46"/>
  <c r="K6" i="46"/>
  <c r="J6" i="46"/>
  <c r="I6" i="46"/>
  <c r="H6" i="46"/>
  <c r="G6" i="46"/>
  <c r="D6" i="46"/>
  <c r="D5" i="46"/>
  <c r="G4" i="46"/>
  <c r="H4" i="46" s="1"/>
  <c r="I4" i="46"/>
  <c r="J4" i="46" s="1"/>
  <c r="K4" i="46" s="1"/>
  <c r="L4" i="46" s="1"/>
  <c r="M4" i="46" s="1"/>
  <c r="N4" i="46" s="1"/>
  <c r="O4" i="46" s="1"/>
  <c r="P4" i="46" s="1"/>
  <c r="Q4" i="46" s="1"/>
  <c r="R4" i="46" s="1"/>
  <c r="S4" i="46" s="1"/>
  <c r="T4" i="46" s="1"/>
  <c r="U4" i="46" s="1"/>
  <c r="V4" i="46" s="1"/>
  <c r="D4" i="46"/>
  <c r="H45" i="30" s="1"/>
  <c r="D3" i="46"/>
  <c r="D2" i="46"/>
  <c r="J43" i="30"/>
  <c r="J46" i="30"/>
  <c r="I48" i="30"/>
  <c r="H44" i="30"/>
  <c r="H48" i="30"/>
  <c r="L40" i="30"/>
  <c r="P40" i="30" s="1"/>
  <c r="T40" i="30" s="1"/>
  <c r="A21" i="44"/>
  <c r="C23" i="43"/>
  <c r="E106" i="43"/>
  <c r="F106" i="43"/>
  <c r="G106" i="43"/>
  <c r="H106" i="43"/>
  <c r="I106" i="43"/>
  <c r="J106" i="43"/>
  <c r="K106" i="43"/>
  <c r="L106" i="43"/>
  <c r="M106" i="43"/>
  <c r="D106" i="43"/>
  <c r="D8" i="44"/>
  <c r="E8" i="44" s="1"/>
  <c r="C8" i="44"/>
  <c r="E60" i="43" s="1"/>
  <c r="F60" i="43" s="1"/>
  <c r="D12" i="44"/>
  <c r="C12" i="44"/>
  <c r="D14" i="44"/>
  <c r="C14" i="44"/>
  <c r="D62" i="43" s="1"/>
  <c r="E81" i="43"/>
  <c r="F81" i="43" s="1"/>
  <c r="D15" i="44"/>
  <c r="C15" i="44"/>
  <c r="E63" i="43" s="1"/>
  <c r="D13" i="44"/>
  <c r="C13" i="44"/>
  <c r="D77" i="43"/>
  <c r="D78" i="43" s="1"/>
  <c r="D16" i="44"/>
  <c r="C16" i="44"/>
  <c r="D9" i="44"/>
  <c r="C9" i="44"/>
  <c r="D10" i="44"/>
  <c r="C10" i="44"/>
  <c r="D11" i="44"/>
  <c r="C11" i="44"/>
  <c r="D17" i="44"/>
  <c r="C17" i="44"/>
  <c r="E82" i="43"/>
  <c r="F82" i="43" s="1"/>
  <c r="G82" i="43" s="1"/>
  <c r="H82" i="43" s="1"/>
  <c r="I82" i="43" s="1"/>
  <c r="J82" i="43" s="1"/>
  <c r="K82" i="43" s="1"/>
  <c r="L82" i="43" s="1"/>
  <c r="M82" i="43" s="1"/>
  <c r="J28" i="43"/>
  <c r="F30" i="43"/>
  <c r="F31" i="43"/>
  <c r="C16" i="21"/>
  <c r="D18" i="44"/>
  <c r="C18" i="44"/>
  <c r="D19" i="44"/>
  <c r="C19" i="44"/>
  <c r="M118" i="43" s="1"/>
  <c r="C29" i="43"/>
  <c r="C30" i="43"/>
  <c r="C31" i="43"/>
  <c r="J30" i="43"/>
  <c r="F29" i="43"/>
  <c r="J29" i="43"/>
  <c r="F28" i="43"/>
  <c r="J31" i="43"/>
  <c r="C28" i="43"/>
  <c r="B4" i="44"/>
  <c r="B6" i="44" s="1"/>
  <c r="F9" i="44"/>
  <c r="F10" i="44" s="1"/>
  <c r="F11" i="44" s="1"/>
  <c r="E56" i="43"/>
  <c r="F56" i="43" s="1"/>
  <c r="G56" i="43" s="1"/>
  <c r="H56" i="43" s="1"/>
  <c r="J56" i="43" s="1"/>
  <c r="L56" i="43" s="1"/>
  <c r="D61" i="43"/>
  <c r="D84" i="43"/>
  <c r="D122" i="43"/>
  <c r="D124" i="43"/>
  <c r="J8" i="44"/>
  <c r="J9" i="44"/>
  <c r="J10" i="44"/>
  <c r="J11" i="44"/>
  <c r="J12" i="44"/>
  <c r="J13" i="44"/>
  <c r="J14" i="44"/>
  <c r="J15" i="44"/>
  <c r="J16" i="44"/>
  <c r="J17" i="44"/>
  <c r="J18" i="44"/>
  <c r="J19" i="44"/>
  <c r="K8" i="44"/>
  <c r="K12" i="44"/>
  <c r="K9" i="44"/>
  <c r="K18" i="44"/>
  <c r="K11" i="44"/>
  <c r="K10" i="44"/>
  <c r="K13" i="44"/>
  <c r="K16" i="44"/>
  <c r="K19" i="44"/>
  <c r="K14" i="44"/>
  <c r="K17" i="44"/>
  <c r="K15" i="44"/>
  <c r="L125" i="34"/>
  <c r="G100" i="34"/>
  <c r="H100" i="34" s="1"/>
  <c r="I100" i="34" s="1"/>
  <c r="J100" i="34" s="1"/>
  <c r="K100" i="34" s="1"/>
  <c r="L100" i="34" s="1"/>
  <c r="M100" i="34" s="1"/>
  <c r="F96" i="34"/>
  <c r="F97" i="34" s="1"/>
  <c r="G101" i="34"/>
  <c r="H101" i="34" s="1"/>
  <c r="I101" i="34" s="1"/>
  <c r="J101" i="34"/>
  <c r="K101" i="34" s="1"/>
  <c r="L101" i="34" s="1"/>
  <c r="M101" i="34" s="1"/>
  <c r="G75" i="34"/>
  <c r="H75" i="34" s="1"/>
  <c r="I75" i="34" s="1"/>
  <c r="J75" i="34" s="1"/>
  <c r="K75" i="34" s="1"/>
  <c r="L75" i="34" s="1"/>
  <c r="M75" i="34" s="1"/>
  <c r="I59" i="34"/>
  <c r="J59" i="34"/>
  <c r="K59" i="34" s="1"/>
  <c r="L59" i="34" s="1"/>
  <c r="M59" i="34" s="1"/>
  <c r="M72" i="34"/>
  <c r="L72" i="34"/>
  <c r="K125" i="34"/>
  <c r="M125" i="34"/>
  <c r="B50" i="11"/>
  <c r="C67" i="2"/>
  <c r="O48" i="16"/>
  <c r="P34" i="16"/>
  <c r="P35" i="16"/>
  <c r="P41" i="16"/>
  <c r="P40" i="16"/>
  <c r="L34" i="16"/>
  <c r="M34" i="16" s="1"/>
  <c r="N34" i="16" s="1"/>
  <c r="O34" i="16" s="1"/>
  <c r="P32" i="1"/>
  <c r="L33" i="11"/>
  <c r="L32" i="11"/>
  <c r="I33" i="11"/>
  <c r="I32" i="11"/>
  <c r="F33" i="11"/>
  <c r="F32" i="11"/>
  <c r="C33" i="11"/>
  <c r="B32" i="11"/>
  <c r="B33" i="11" s="1"/>
  <c r="C32" i="11"/>
  <c r="L21" i="11"/>
  <c r="L22" i="11"/>
  <c r="L23" i="11"/>
  <c r="L24" i="11"/>
  <c r="L25" i="11"/>
  <c r="L26" i="11"/>
  <c r="L27" i="11"/>
  <c r="L28" i="11"/>
  <c r="L29" i="11"/>
  <c r="L30" i="11"/>
  <c r="L20" i="11"/>
  <c r="I21" i="11"/>
  <c r="I22" i="11"/>
  <c r="I23" i="11"/>
  <c r="I24" i="11"/>
  <c r="I25" i="11"/>
  <c r="I26" i="11"/>
  <c r="I27" i="11"/>
  <c r="I28" i="11"/>
  <c r="I29" i="11"/>
  <c r="I30" i="11"/>
  <c r="I20" i="11"/>
  <c r="K21" i="11"/>
  <c r="K22" i="11" s="1"/>
  <c r="K23" i="11" s="1"/>
  <c r="K24" i="11" s="1"/>
  <c r="K25" i="11" s="1"/>
  <c r="K26" i="11" s="1"/>
  <c r="K27" i="11" s="1"/>
  <c r="K28" i="11" s="1"/>
  <c r="K29" i="11" s="1"/>
  <c r="K30" i="11" s="1"/>
  <c r="H21" i="11"/>
  <c r="H22" i="11" s="1"/>
  <c r="H23" i="11" s="1"/>
  <c r="H24" i="11" s="1"/>
  <c r="H25" i="11" s="1"/>
  <c r="H26" i="11" s="1"/>
  <c r="H27" i="11" s="1"/>
  <c r="H28" i="11" s="1"/>
  <c r="H29" i="11" s="1"/>
  <c r="H30" i="11" s="1"/>
  <c r="F21" i="11"/>
  <c r="F22" i="11"/>
  <c r="F23" i="11"/>
  <c r="F24" i="11"/>
  <c r="F25" i="11"/>
  <c r="F26" i="11"/>
  <c r="F27" i="11"/>
  <c r="F28" i="11"/>
  <c r="F29" i="11"/>
  <c r="F30" i="11"/>
  <c r="F20" i="11"/>
  <c r="E21" i="11"/>
  <c r="E22" i="11" s="1"/>
  <c r="E23" i="11" s="1"/>
  <c r="E24" i="11" s="1"/>
  <c r="E25" i="11" s="1"/>
  <c r="E26" i="11" s="1"/>
  <c r="E27" i="11" s="1"/>
  <c r="E28" i="11" s="1"/>
  <c r="E29" i="11" s="1"/>
  <c r="E30" i="11" s="1"/>
  <c r="B21" i="11"/>
  <c r="B22" i="11" s="1"/>
  <c r="B23" i="11" s="1"/>
  <c r="B24" i="11"/>
  <c r="B25" i="11" s="1"/>
  <c r="B26" i="11" s="1"/>
  <c r="B27" i="11" s="1"/>
  <c r="B28" i="11" s="1"/>
  <c r="B29" i="11" s="1"/>
  <c r="B30" i="11" s="1"/>
  <c r="C30" i="11"/>
  <c r="C21" i="11"/>
  <c r="C22" i="11"/>
  <c r="C23" i="11"/>
  <c r="C24" i="11"/>
  <c r="C25" i="11"/>
  <c r="C26" i="11"/>
  <c r="C27" i="11"/>
  <c r="C28" i="11"/>
  <c r="C29" i="11"/>
  <c r="C20" i="11"/>
  <c r="B18" i="11"/>
  <c r="C18" i="11" s="1"/>
  <c r="B3" i="11"/>
  <c r="B11" i="11" s="1"/>
  <c r="C32" i="2"/>
  <c r="C33" i="2" s="1"/>
  <c r="C34" i="2" s="1"/>
  <c r="C35" i="2" s="1"/>
  <c r="C10" i="2"/>
  <c r="E2" i="35"/>
  <c r="C34" i="34"/>
  <c r="C33" i="34"/>
  <c r="D9" i="19"/>
  <c r="C48" i="19"/>
  <c r="C49" i="19"/>
  <c r="C50" i="19"/>
  <c r="C51"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14" i="19"/>
  <c r="J57" i="1"/>
  <c r="B6" i="42"/>
  <c r="B5" i="42"/>
  <c r="E3" i="42" s="1"/>
  <c r="G32" i="3" s="1"/>
  <c r="A3" i="42"/>
  <c r="A4" i="42" s="1"/>
  <c r="A5" i="42" s="1"/>
  <c r="A6" i="42" s="1"/>
  <c r="A7" i="42" s="1"/>
  <c r="A8" i="42" s="1"/>
  <c r="A9" i="42" s="1"/>
  <c r="A10" i="42" s="1"/>
  <c r="A11" i="42" s="1"/>
  <c r="A12" i="42" s="1"/>
  <c r="C4" i="42"/>
  <c r="C5" i="42" s="1"/>
  <c r="C6" i="42" s="1"/>
  <c r="C7" i="42" s="1"/>
  <c r="O14" i="19"/>
  <c r="O15" i="19"/>
  <c r="K15" i="19" s="1"/>
  <c r="C43" i="5"/>
  <c r="C1" i="41"/>
  <c r="D1" i="41"/>
  <c r="E1" i="41" s="1"/>
  <c r="F1" i="41" s="1"/>
  <c r="B2" i="41"/>
  <c r="C2" i="41" s="1"/>
  <c r="D2" i="41" s="1"/>
  <c r="E2" i="41" s="1"/>
  <c r="F2" i="41" s="1"/>
  <c r="G2" i="41" s="1"/>
  <c r="H2" i="41" s="1"/>
  <c r="I2" i="41" s="1"/>
  <c r="A3" i="41"/>
  <c r="A4" i="41" s="1"/>
  <c r="A5" i="41" s="1"/>
  <c r="A6" i="41" s="1"/>
  <c r="A7" i="41" s="1"/>
  <c r="A8" i="41" s="1"/>
  <c r="B3" i="41"/>
  <c r="C3" i="41" s="1"/>
  <c r="D3" i="41" s="1"/>
  <c r="E3" i="41" s="1"/>
  <c r="F3" i="41" s="1"/>
  <c r="G3" i="41" s="1"/>
  <c r="H3" i="41" s="1"/>
  <c r="I3" i="41" s="1"/>
  <c r="B4" i="41"/>
  <c r="C4" i="41" s="1"/>
  <c r="D4" i="41" s="1"/>
  <c r="E4" i="41" s="1"/>
  <c r="F4" i="41" s="1"/>
  <c r="G4" i="41" s="1"/>
  <c r="H4" i="41" s="1"/>
  <c r="I4" i="41" s="1"/>
  <c r="B5" i="41"/>
  <c r="C5" i="41"/>
  <c r="D5" i="41" s="1"/>
  <c r="E5" i="41" s="1"/>
  <c r="F5" i="41" s="1"/>
  <c r="G5" i="41" s="1"/>
  <c r="H5" i="41" s="1"/>
  <c r="I5" i="41" s="1"/>
  <c r="B6" i="41"/>
  <c r="C6" i="41" s="1"/>
  <c r="D6" i="41"/>
  <c r="E6" i="41"/>
  <c r="F6" i="41" s="1"/>
  <c r="B7" i="41"/>
  <c r="C7" i="41"/>
  <c r="D7" i="41" s="1"/>
  <c r="E7" i="41"/>
  <c r="F7" i="41" s="1"/>
  <c r="B8" i="41"/>
  <c r="C8" i="41" s="1"/>
  <c r="D8" i="41" s="1"/>
  <c r="E8" i="41" s="1"/>
  <c r="F8" i="41" s="1"/>
  <c r="C14" i="22"/>
  <c r="C15" i="22"/>
  <c r="J22" i="22"/>
  <c r="K22" i="22"/>
  <c r="L22" i="22"/>
  <c r="M22" i="22" s="1"/>
  <c r="N22" i="22" s="1"/>
  <c r="O22" i="22" s="1"/>
  <c r="P22" i="22" s="1"/>
  <c r="Q22" i="22" s="1"/>
  <c r="R22" i="22" s="1"/>
  <c r="S22" i="22" s="1"/>
  <c r="T22" i="22" s="1"/>
  <c r="U22" i="22" s="1"/>
  <c r="V22" i="22" s="1"/>
  <c r="W22" i="22" s="1"/>
  <c r="X22" i="22" s="1"/>
  <c r="Y22" i="22" s="1"/>
  <c r="Z22" i="22" s="1"/>
  <c r="AA22" i="22" s="1"/>
  <c r="AB22" i="22" s="1"/>
  <c r="AC22" i="22" s="1"/>
  <c r="AD22" i="22" s="1"/>
  <c r="AE22" i="22" s="1"/>
  <c r="AF22" i="22" s="1"/>
  <c r="AG22" i="22" s="1"/>
  <c r="AH22" i="22" s="1"/>
  <c r="AI22" i="22" s="1"/>
  <c r="AJ22" i="22" s="1"/>
  <c r="AK22" i="22" s="1"/>
  <c r="AL22" i="22" s="1"/>
  <c r="AI31" i="22"/>
  <c r="A7" i="23"/>
  <c r="D28" i="21"/>
  <c r="A8" i="23"/>
  <c r="D29" i="21"/>
  <c r="A9" i="23" s="1"/>
  <c r="A10" i="23"/>
  <c r="F10" i="23"/>
  <c r="G10" i="23" s="1"/>
  <c r="J11" i="23"/>
  <c r="K11" i="23"/>
  <c r="M11" i="23"/>
  <c r="O11" i="23"/>
  <c r="Q11" i="23"/>
  <c r="R11" i="23"/>
  <c r="D12" i="23"/>
  <c r="J12" i="23"/>
  <c r="K12" i="23"/>
  <c r="M12" i="23"/>
  <c r="O12" i="23"/>
  <c r="Q12" i="23"/>
  <c r="R12" i="23"/>
  <c r="J13" i="23"/>
  <c r="K13" i="23"/>
  <c r="M13" i="23"/>
  <c r="O13" i="23"/>
  <c r="Q13" i="23"/>
  <c r="R13" i="23"/>
  <c r="J14" i="23"/>
  <c r="K14" i="23"/>
  <c r="M14" i="23"/>
  <c r="O14" i="23"/>
  <c r="Q14" i="23"/>
  <c r="R14" i="23"/>
  <c r="J15" i="23"/>
  <c r="K15" i="23"/>
  <c r="M15" i="23"/>
  <c r="O15" i="23"/>
  <c r="Q15" i="23"/>
  <c r="R15" i="23"/>
  <c r="J16" i="23"/>
  <c r="K16" i="23"/>
  <c r="M16" i="23"/>
  <c r="O16" i="23"/>
  <c r="Q16" i="23"/>
  <c r="R16" i="23"/>
  <c r="J17" i="23"/>
  <c r="K17" i="23"/>
  <c r="M17" i="23"/>
  <c r="O17" i="23"/>
  <c r="Q17" i="23"/>
  <c r="R17" i="23"/>
  <c r="J18" i="23"/>
  <c r="K18" i="23"/>
  <c r="M18" i="23"/>
  <c r="O18" i="23"/>
  <c r="Q18" i="23"/>
  <c r="R18" i="23"/>
  <c r="J19" i="23"/>
  <c r="K19" i="23"/>
  <c r="M19" i="23"/>
  <c r="O19" i="23"/>
  <c r="Q19" i="23"/>
  <c r="R19" i="23"/>
  <c r="J20" i="23"/>
  <c r="K20" i="23"/>
  <c r="M20" i="23"/>
  <c r="O20" i="23"/>
  <c r="Q20" i="23"/>
  <c r="R20" i="23"/>
  <c r="J21" i="23"/>
  <c r="K21" i="23"/>
  <c r="M21" i="23"/>
  <c r="O21" i="23"/>
  <c r="Q21" i="23"/>
  <c r="R21" i="23"/>
  <c r="J22" i="23"/>
  <c r="K22" i="23"/>
  <c r="M22" i="23"/>
  <c r="O22" i="23"/>
  <c r="Q22" i="23"/>
  <c r="R22" i="23"/>
  <c r="J23" i="23"/>
  <c r="K23" i="23"/>
  <c r="M23" i="23"/>
  <c r="O23" i="23"/>
  <c r="Q23" i="23"/>
  <c r="R23" i="23"/>
  <c r="J24" i="23"/>
  <c r="K24" i="23"/>
  <c r="M24" i="23"/>
  <c r="O24" i="23"/>
  <c r="Q24" i="23"/>
  <c r="R24" i="23"/>
  <c r="J25" i="23"/>
  <c r="K25" i="23"/>
  <c r="M25" i="23"/>
  <c r="O25" i="23"/>
  <c r="Q25" i="23"/>
  <c r="R25" i="23"/>
  <c r="J26" i="23"/>
  <c r="K26" i="23"/>
  <c r="M26" i="23"/>
  <c r="O26" i="23"/>
  <c r="Q26" i="23"/>
  <c r="R26" i="23"/>
  <c r="J27" i="23"/>
  <c r="K27" i="23"/>
  <c r="M27" i="23"/>
  <c r="O27" i="23"/>
  <c r="Q27" i="23"/>
  <c r="R27" i="23"/>
  <c r="J28" i="23"/>
  <c r="K28" i="23"/>
  <c r="M28" i="23"/>
  <c r="O28" i="23"/>
  <c r="Q28" i="23"/>
  <c r="R28" i="23"/>
  <c r="J29" i="23"/>
  <c r="K29" i="23"/>
  <c r="M29" i="23"/>
  <c r="O29" i="23"/>
  <c r="Q29" i="23"/>
  <c r="R29" i="23"/>
  <c r="J30" i="23"/>
  <c r="K30" i="23"/>
  <c r="M30" i="23"/>
  <c r="O30" i="23"/>
  <c r="Q30" i="23"/>
  <c r="R30" i="23"/>
  <c r="J31" i="23"/>
  <c r="K31" i="23"/>
  <c r="M31" i="23"/>
  <c r="O31" i="23"/>
  <c r="Q31" i="23"/>
  <c r="R31" i="23"/>
  <c r="J32" i="23"/>
  <c r="K32" i="23"/>
  <c r="M32" i="23"/>
  <c r="O32" i="23"/>
  <c r="Q32" i="23"/>
  <c r="R32" i="23"/>
  <c r="J33" i="23"/>
  <c r="K33" i="23"/>
  <c r="M33" i="23"/>
  <c r="O33" i="23"/>
  <c r="Q33" i="23"/>
  <c r="R33" i="23"/>
  <c r="J34" i="23"/>
  <c r="K34" i="23"/>
  <c r="M34" i="23"/>
  <c r="O34" i="23"/>
  <c r="Q34" i="23"/>
  <c r="R34" i="23"/>
  <c r="J35" i="23"/>
  <c r="K35" i="23"/>
  <c r="M35" i="23"/>
  <c r="O35" i="23"/>
  <c r="Q35" i="23"/>
  <c r="R35" i="23"/>
  <c r="J36" i="23"/>
  <c r="K36" i="23"/>
  <c r="M36" i="23"/>
  <c r="O36" i="23"/>
  <c r="Q36" i="23"/>
  <c r="R36" i="23"/>
  <c r="J37" i="23"/>
  <c r="K37" i="23"/>
  <c r="M37" i="23"/>
  <c r="O37" i="23"/>
  <c r="Q37" i="23"/>
  <c r="R37" i="23"/>
  <c r="J38" i="23"/>
  <c r="K38" i="23"/>
  <c r="M38" i="23"/>
  <c r="O38" i="23"/>
  <c r="Q38" i="23"/>
  <c r="R38" i="23"/>
  <c r="J39" i="23"/>
  <c r="K39" i="23"/>
  <c r="M39" i="23"/>
  <c r="O39" i="23"/>
  <c r="Q39" i="23"/>
  <c r="R39" i="23"/>
  <c r="J40" i="23"/>
  <c r="K40" i="23"/>
  <c r="M40" i="23"/>
  <c r="O40" i="23"/>
  <c r="Q40" i="23"/>
  <c r="R40" i="23"/>
  <c r="J41" i="23"/>
  <c r="K41" i="23"/>
  <c r="M41" i="23"/>
  <c r="O41" i="23"/>
  <c r="Q41" i="23"/>
  <c r="R41" i="23"/>
  <c r="J42" i="23"/>
  <c r="K42" i="23"/>
  <c r="M42" i="23"/>
  <c r="O42" i="23"/>
  <c r="Q42" i="23"/>
  <c r="R42" i="23"/>
  <c r="J43" i="23"/>
  <c r="K43" i="23"/>
  <c r="M43" i="23"/>
  <c r="O43" i="23"/>
  <c r="Q43" i="23"/>
  <c r="R43" i="23"/>
  <c r="C17" i="21"/>
  <c r="C19" i="30"/>
  <c r="L24" i="30"/>
  <c r="P24" i="30"/>
  <c r="T24" i="30" s="1"/>
  <c r="L70" i="30"/>
  <c r="M70" i="30"/>
  <c r="N70" i="30"/>
  <c r="R70" i="30" s="1"/>
  <c r="O70" i="30"/>
  <c r="P70" i="30"/>
  <c r="Q70" i="30"/>
  <c r="S70" i="30"/>
  <c r="T70" i="30"/>
  <c r="U70" i="30"/>
  <c r="W70" i="30"/>
  <c r="H71" i="30"/>
  <c r="I71" i="30"/>
  <c r="J71" i="30"/>
  <c r="K71" i="30"/>
  <c r="L71" i="30"/>
  <c r="M71" i="30"/>
  <c r="N71" i="30"/>
  <c r="O71" i="30"/>
  <c r="P71" i="30"/>
  <c r="Q71" i="30"/>
  <c r="S71" i="30"/>
  <c r="T71" i="30"/>
  <c r="U71" i="30"/>
  <c r="W71" i="30"/>
  <c r="V77" i="30"/>
  <c r="C67" i="36"/>
  <c r="C91" i="36"/>
  <c r="C108" i="36"/>
  <c r="C116" i="36"/>
  <c r="F12" i="35"/>
  <c r="E12" i="35" s="1"/>
  <c r="F13" i="35"/>
  <c r="F14" i="35" s="1"/>
  <c r="B8" i="35"/>
  <c r="F141" i="34"/>
  <c r="F143" i="34"/>
  <c r="A12" i="35"/>
  <c r="K12" i="35"/>
  <c r="A20" i="35"/>
  <c r="A14" i="35"/>
  <c r="A23" i="35"/>
  <c r="A17" i="35"/>
  <c r="A18" i="35"/>
  <c r="A19" i="35"/>
  <c r="A21" i="35"/>
  <c r="A22" i="35"/>
  <c r="E26" i="35"/>
  <c r="F26" i="35" s="1"/>
  <c r="G26" i="35" s="1"/>
  <c r="H26" i="35" s="1"/>
  <c r="I26" i="35" s="1"/>
  <c r="A30" i="35"/>
  <c r="F103" i="34"/>
  <c r="F125" i="34"/>
  <c r="G125" i="34"/>
  <c r="H125" i="34"/>
  <c r="I125" i="34"/>
  <c r="J125" i="34"/>
  <c r="B3" i="8"/>
  <c r="C3" i="8"/>
  <c r="D3" i="8"/>
  <c r="E3" i="8" s="1"/>
  <c r="D4" i="8"/>
  <c r="D5" i="8"/>
  <c r="D6" i="8"/>
  <c r="D7" i="8"/>
  <c r="D8" i="8"/>
  <c r="D9" i="8"/>
  <c r="D10" i="8"/>
  <c r="D11" i="8"/>
  <c r="D12" i="8"/>
  <c r="D13" i="8"/>
  <c r="D14" i="8"/>
  <c r="D15" i="8"/>
  <c r="D16" i="8"/>
  <c r="D17" i="8"/>
  <c r="D18" i="8"/>
  <c r="D19" i="8"/>
  <c r="D20" i="8"/>
  <c r="D21" i="8"/>
  <c r="D22" i="8"/>
  <c r="D23" i="8"/>
  <c r="D24" i="8"/>
  <c r="D25" i="8"/>
  <c r="D26" i="8"/>
  <c r="D27" i="8"/>
  <c r="D28" i="8"/>
  <c r="D29" i="8"/>
  <c r="C4" i="8"/>
  <c r="C5" i="8"/>
  <c r="I5" i="8" s="1"/>
  <c r="J5" i="8"/>
  <c r="K5" i="8"/>
  <c r="C6" i="8"/>
  <c r="I6" i="8"/>
  <c r="J6" i="8"/>
  <c r="K6" i="8"/>
  <c r="C7" i="8"/>
  <c r="C8" i="8"/>
  <c r="I8" i="8" s="1"/>
  <c r="K8" i="8"/>
  <c r="C9" i="8"/>
  <c r="C10" i="8"/>
  <c r="C11" i="8"/>
  <c r="C12" i="8"/>
  <c r="C13" i="8"/>
  <c r="I13" i="8" s="1"/>
  <c r="J13" i="8"/>
  <c r="K13" i="8"/>
  <c r="C14" i="8"/>
  <c r="I14" i="8"/>
  <c r="J14" i="8"/>
  <c r="K14" i="8"/>
  <c r="C15" i="8"/>
  <c r="C16" i="8"/>
  <c r="I16" i="8" s="1"/>
  <c r="K16" i="8"/>
  <c r="C17" i="8"/>
  <c r="C18" i="8"/>
  <c r="I18" i="8"/>
  <c r="C19" i="8"/>
  <c r="C20" i="8"/>
  <c r="C21" i="8"/>
  <c r="I21" i="8" s="1"/>
  <c r="J21" i="8"/>
  <c r="K21" i="8"/>
  <c r="C22" i="8"/>
  <c r="I22" i="8"/>
  <c r="J22" i="8"/>
  <c r="K22" i="8"/>
  <c r="C23" i="8"/>
  <c r="C24" i="8"/>
  <c r="I24" i="8" s="1"/>
  <c r="K24" i="8"/>
  <c r="C25" i="8"/>
  <c r="C26" i="8"/>
  <c r="I26" i="8" s="1"/>
  <c r="C27" i="8"/>
  <c r="C28" i="8"/>
  <c r="C29" i="8"/>
  <c r="I29" i="8" s="1"/>
  <c r="J29" i="8"/>
  <c r="K29" i="8"/>
  <c r="B4" i="8"/>
  <c r="B5" i="8"/>
  <c r="B6" i="8"/>
  <c r="B7" i="8"/>
  <c r="B8" i="8"/>
  <c r="B9" i="8"/>
  <c r="B10" i="8"/>
  <c r="B11" i="8"/>
  <c r="B12" i="8"/>
  <c r="B13" i="8"/>
  <c r="B14" i="8"/>
  <c r="B15" i="8"/>
  <c r="B16" i="8"/>
  <c r="B17" i="8"/>
  <c r="B18" i="8"/>
  <c r="B19" i="8"/>
  <c r="B20" i="8"/>
  <c r="B21" i="8"/>
  <c r="B22" i="8"/>
  <c r="B23" i="8"/>
  <c r="B24" i="8"/>
  <c r="B25" i="8"/>
  <c r="B26" i="8"/>
  <c r="B27" i="8"/>
  <c r="B28" i="8"/>
  <c r="B29" i="8"/>
  <c r="A4" i="8"/>
  <c r="A5" i="8"/>
  <c r="E5" i="8" s="1"/>
  <c r="F5" i="8"/>
  <c r="C10" i="4"/>
  <c r="C11" i="4"/>
  <c r="L50" i="4"/>
  <c r="C13" i="16"/>
  <c r="C14" i="16"/>
  <c r="L18" i="16"/>
  <c r="M18" i="16" s="1"/>
  <c r="K2" i="24"/>
  <c r="K3" i="24"/>
  <c r="K4" i="24"/>
  <c r="K5" i="24"/>
  <c r="K6" i="24"/>
  <c r="D9" i="24" a="1"/>
  <c r="D10" i="24" s="1"/>
  <c r="J10" i="24"/>
  <c r="J11" i="24" s="1"/>
  <c r="E11" i="24"/>
  <c r="F11" i="24"/>
  <c r="C11" i="11"/>
  <c r="C11" i="2"/>
  <c r="C46" i="2"/>
  <c r="C47" i="2"/>
  <c r="C48" i="2" s="1"/>
  <c r="C49" i="2" s="1"/>
  <c r="N69" i="2"/>
  <c r="C9" i="3"/>
  <c r="C10" i="3"/>
  <c r="H32" i="3"/>
  <c r="L42" i="3"/>
  <c r="C11" i="15"/>
  <c r="C12" i="15"/>
  <c r="I16" i="15"/>
  <c r="L74" i="15"/>
  <c r="D10" i="19"/>
  <c r="K41" i="19"/>
  <c r="M40" i="19" s="1"/>
  <c r="J43" i="19"/>
  <c r="O51" i="19"/>
  <c r="B2" i="40"/>
  <c r="B3" i="40"/>
  <c r="B4" i="40"/>
  <c r="B5" i="40"/>
  <c r="B6" i="40"/>
  <c r="B7" i="40"/>
  <c r="B8" i="40"/>
  <c r="B9" i="40"/>
  <c r="B10" i="40"/>
  <c r="B11" i="40"/>
  <c r="B12" i="40"/>
  <c r="B13" i="40"/>
  <c r="B14" i="40"/>
  <c r="B15" i="40"/>
  <c r="B16" i="40"/>
  <c r="B17" i="40"/>
  <c r="B18" i="40"/>
  <c r="B19" i="40"/>
  <c r="B20" i="40"/>
  <c r="B21" i="40"/>
  <c r="B22" i="40"/>
  <c r="B23" i="40"/>
  <c r="B24" i="40"/>
  <c r="B25" i="40"/>
  <c r="B26" i="40"/>
  <c r="B27" i="40"/>
  <c r="B28" i="40"/>
  <c r="B29" i="40"/>
  <c r="B30" i="40"/>
  <c r="B31" i="40"/>
  <c r="B32" i="40"/>
  <c r="B33" i="40"/>
  <c r="B34" i="40"/>
  <c r="B35" i="40"/>
  <c r="B36" i="40"/>
  <c r="B37" i="40"/>
  <c r="B38" i="40"/>
  <c r="B39" i="40"/>
  <c r="B40" i="40"/>
  <c r="C13" i="5"/>
  <c r="C14" i="5"/>
  <c r="H19" i="5"/>
  <c r="I19" i="5"/>
  <c r="D20" i="5"/>
  <c r="I20" i="5" s="1"/>
  <c r="D21" i="5"/>
  <c r="D22" i="5" s="1"/>
  <c r="H20" i="5"/>
  <c r="K23" i="5"/>
  <c r="C15" i="26"/>
  <c r="F24" i="26"/>
  <c r="G24" i="26"/>
  <c r="H24" i="26"/>
  <c r="I24" i="26"/>
  <c r="I25" i="26" s="1"/>
  <c r="J24" i="26"/>
  <c r="J25" i="26" s="1"/>
  <c r="J26" i="26" s="1"/>
  <c r="K24" i="26"/>
  <c r="L24" i="26"/>
  <c r="F25" i="26"/>
  <c r="F26" i="26" s="1"/>
  <c r="G25" i="26"/>
  <c r="K25" i="26"/>
  <c r="G26" i="26"/>
  <c r="K26" i="26"/>
  <c r="K27" i="26" s="1"/>
  <c r="E56" i="26"/>
  <c r="F56" i="26"/>
  <c r="G56" i="26"/>
  <c r="H56" i="26"/>
  <c r="I56" i="26"/>
  <c r="J56" i="26"/>
  <c r="K56" i="26"/>
  <c r="L56" i="26"/>
  <c r="I57" i="26"/>
  <c r="E58" i="26"/>
  <c r="F58" i="26"/>
  <c r="G58" i="26"/>
  <c r="H58" i="26"/>
  <c r="I58" i="26"/>
  <c r="J58" i="26"/>
  <c r="K58" i="26"/>
  <c r="L58" i="26"/>
  <c r="E59" i="26"/>
  <c r="F59" i="26"/>
  <c r="I59" i="26"/>
  <c r="J59" i="26"/>
  <c r="E60" i="26"/>
  <c r="F60" i="26"/>
  <c r="I60" i="26"/>
  <c r="J60" i="26"/>
  <c r="K81" i="26"/>
  <c r="C21" i="1"/>
  <c r="C22" i="1"/>
  <c r="E53" i="1"/>
  <c r="D51" i="1"/>
  <c r="D50" i="1" s="1"/>
  <c r="D49" i="1" s="1"/>
  <c r="D48" i="1" s="1"/>
  <c r="D47" i="1" s="1"/>
  <c r="D46" i="1" s="1"/>
  <c r="D45" i="1" s="1"/>
  <c r="D44" i="1" s="1"/>
  <c r="Q56" i="1"/>
  <c r="AN44" i="13"/>
  <c r="G39" i="85"/>
  <c r="C19" i="35" l="1"/>
  <c r="F65" i="34"/>
  <c r="E62" i="43"/>
  <c r="I73" i="91"/>
  <c r="I82" i="91" s="1"/>
  <c r="E79" i="91"/>
  <c r="E76" i="91"/>
  <c r="G59" i="91"/>
  <c r="I63" i="91" s="1"/>
  <c r="E63" i="91"/>
  <c r="E43" i="82"/>
  <c r="D66" i="82"/>
  <c r="H62" i="59"/>
  <c r="C76" i="59"/>
  <c r="C82" i="59" s="1"/>
  <c r="R71" i="30"/>
  <c r="V70" i="30"/>
  <c r="V71" i="30" s="1"/>
  <c r="H5" i="48"/>
  <c r="J4" i="48"/>
  <c r="H12" i="24"/>
  <c r="A6" i="8"/>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J18" i="8"/>
  <c r="L18" i="8" s="1"/>
  <c r="K18" i="8"/>
  <c r="I12" i="8"/>
  <c r="K12" i="8"/>
  <c r="I9" i="8"/>
  <c r="L9" i="8" s="1"/>
  <c r="J9" i="8"/>
  <c r="K9" i="8"/>
  <c r="E4" i="8"/>
  <c r="F70" i="34"/>
  <c r="N8" i="44"/>
  <c r="L8" i="44" s="1"/>
  <c r="J21" i="46"/>
  <c r="K46" i="30" s="1"/>
  <c r="J44" i="30"/>
  <c r="J45" i="30"/>
  <c r="O20" i="24"/>
  <c r="J21" i="24"/>
  <c r="L41" i="83"/>
  <c r="P16" i="83"/>
  <c r="F10" i="63"/>
  <c r="F9" i="63"/>
  <c r="I4" i="8"/>
  <c r="K4" i="8"/>
  <c r="E4" i="42"/>
  <c r="I32" i="3"/>
  <c r="C12" i="35"/>
  <c r="D12" i="35" s="1"/>
  <c r="F63" i="34"/>
  <c r="C23" i="35"/>
  <c r="G57" i="26"/>
  <c r="K57" i="26"/>
  <c r="H57" i="26"/>
  <c r="L57" i="26"/>
  <c r="E57" i="26"/>
  <c r="G27" i="26"/>
  <c r="G28" i="26" s="1"/>
  <c r="E9" i="24"/>
  <c r="G10" i="24"/>
  <c r="G12" i="24"/>
  <c r="J26" i="8"/>
  <c r="L26" i="8" s="1"/>
  <c r="K26" i="8"/>
  <c r="I20" i="8"/>
  <c r="K20" i="8"/>
  <c r="I17" i="8"/>
  <c r="L17" i="8" s="1"/>
  <c r="J17" i="8"/>
  <c r="K17" i="8"/>
  <c r="D3" i="42"/>
  <c r="D4" i="42" s="1"/>
  <c r="F60" i="34"/>
  <c r="G79" i="34" s="1"/>
  <c r="H79" i="34" s="1"/>
  <c r="I79" i="34" s="1"/>
  <c r="P8" i="44"/>
  <c r="P10" i="44"/>
  <c r="J48" i="30"/>
  <c r="I44" i="30"/>
  <c r="H12" i="46"/>
  <c r="H13" i="46" s="1"/>
  <c r="H16" i="46" s="1"/>
  <c r="I45" i="30"/>
  <c r="C20" i="2"/>
  <c r="E32" i="11"/>
  <c r="E33" i="11" s="1"/>
  <c r="O17" i="24"/>
  <c r="J16" i="24"/>
  <c r="M3" i="51"/>
  <c r="G59" i="26"/>
  <c r="K59" i="26"/>
  <c r="H59" i="26"/>
  <c r="L59" i="26"/>
  <c r="K64" i="86"/>
  <c r="H64" i="86" s="1"/>
  <c r="K63" i="86"/>
  <c r="H63" i="86" s="1"/>
  <c r="L34" i="83"/>
  <c r="G51" i="83"/>
  <c r="F78" i="87"/>
  <c r="E73" i="87"/>
  <c r="L53" i="83"/>
  <c r="J10" i="8"/>
  <c r="K10" i="8"/>
  <c r="U5" i="8"/>
  <c r="V5" i="8" s="1"/>
  <c r="C3" i="51"/>
  <c r="E25" i="26"/>
  <c r="N21" i="83"/>
  <c r="J57" i="26"/>
  <c r="I28" i="8"/>
  <c r="K28" i="8"/>
  <c r="I25" i="8"/>
  <c r="L25" i="8" s="1"/>
  <c r="J25" i="8"/>
  <c r="K25" i="8"/>
  <c r="I10" i="8"/>
  <c r="I46" i="30"/>
  <c r="H46" i="30"/>
  <c r="K3" i="51"/>
  <c r="N3" i="51"/>
  <c r="G60" i="26"/>
  <c r="K60" i="26"/>
  <c r="H60" i="26"/>
  <c r="L60" i="26"/>
  <c r="L12" i="83"/>
  <c r="E10" i="63"/>
  <c r="E9" i="63"/>
  <c r="D96" i="71"/>
  <c r="G72" i="59"/>
  <c r="P35" i="83"/>
  <c r="P37" i="83"/>
  <c r="N17" i="83"/>
  <c r="L46" i="83"/>
  <c r="L27" i="83"/>
  <c r="L47" i="83"/>
  <c r="L22" i="8"/>
  <c r="L21" i="8"/>
  <c r="L14" i="8"/>
  <c r="L6" i="8"/>
  <c r="L5" i="8"/>
  <c r="K14" i="19"/>
  <c r="P38" i="16"/>
  <c r="N10" i="44"/>
  <c r="Q10" i="44" s="1"/>
  <c r="E112" i="43"/>
  <c r="I5" i="51"/>
  <c r="L5" i="51" s="1"/>
  <c r="K61" i="86"/>
  <c r="H61" i="86" s="1"/>
  <c r="F30" i="89"/>
  <c r="F32" i="89" s="1"/>
  <c r="L49" i="83"/>
  <c r="K29" i="83"/>
  <c r="E82" i="91"/>
  <c r="K82" i="91"/>
  <c r="G70" i="72"/>
  <c r="I12" i="35"/>
  <c r="J12" i="35" s="1"/>
  <c r="L12" i="35" s="1"/>
  <c r="E9" i="44"/>
  <c r="E113" i="43"/>
  <c r="O5" i="48"/>
  <c r="O3" i="48"/>
  <c r="H59" i="80"/>
  <c r="D63" i="80" s="1"/>
  <c r="D71" i="80" s="1"/>
  <c r="G96" i="91"/>
  <c r="G98" i="91" s="1"/>
  <c r="H42" i="91" s="1"/>
  <c r="E93" i="91"/>
  <c r="L44" i="83"/>
  <c r="N23" i="83"/>
  <c r="L16" i="83"/>
  <c r="K39" i="83"/>
  <c r="K44" i="83"/>
  <c r="K34" i="83"/>
  <c r="M15" i="83"/>
  <c r="M29" i="83"/>
  <c r="M17" i="83"/>
  <c r="M19" i="83"/>
  <c r="M27" i="83"/>
  <c r="M32" i="83"/>
  <c r="M41" i="83"/>
  <c r="M43" i="83"/>
  <c r="M46" i="83"/>
  <c r="M12" i="83"/>
  <c r="M25" i="83"/>
  <c r="M39" i="83"/>
  <c r="M26" i="83"/>
  <c r="M48" i="83"/>
  <c r="M18" i="83"/>
  <c r="M31" i="83"/>
  <c r="M33" i="83"/>
  <c r="M40" i="83"/>
  <c r="M42" i="83"/>
  <c r="O30" i="83"/>
  <c r="O53" i="83"/>
  <c r="O21" i="83"/>
  <c r="O23" i="83"/>
  <c r="O39" i="83"/>
  <c r="O28" i="83"/>
  <c r="O14" i="83"/>
  <c r="O44" i="83"/>
  <c r="O47" i="83"/>
  <c r="O29" i="83"/>
  <c r="O15" i="83"/>
  <c r="O22" i="83"/>
  <c r="O24" i="83"/>
  <c r="O34" i="83"/>
  <c r="O36" i="83"/>
  <c r="O38" i="83"/>
  <c r="O50" i="83"/>
  <c r="O13" i="83"/>
  <c r="O26" i="83"/>
  <c r="O35" i="83"/>
  <c r="O37" i="83"/>
  <c r="O45" i="83"/>
  <c r="N48" i="83"/>
  <c r="P24" i="83"/>
  <c r="P22" i="83"/>
  <c r="P20" i="83"/>
  <c r="P12" i="83"/>
  <c r="P46" i="83"/>
  <c r="N45" i="83"/>
  <c r="L42" i="83"/>
  <c r="L40" i="83"/>
  <c r="L33" i="83"/>
  <c r="L31" i="83"/>
  <c r="L20" i="83"/>
  <c r="L18" i="83"/>
  <c r="N13" i="83"/>
  <c r="L50" i="83"/>
  <c r="P47" i="83"/>
  <c r="P44" i="83"/>
  <c r="N38" i="83"/>
  <c r="N36" i="83"/>
  <c r="N25" i="83"/>
  <c r="P14" i="83"/>
  <c r="F62" i="34"/>
  <c r="C17" i="35"/>
  <c r="C14" i="35"/>
  <c r="K40" i="83"/>
  <c r="K35" i="83"/>
  <c r="K27" i="83"/>
  <c r="K25" i="83"/>
  <c r="K20" i="83"/>
  <c r="K46" i="83"/>
  <c r="K48" i="83"/>
  <c r="K21" i="83"/>
  <c r="L9" i="81"/>
  <c r="H9" i="81" s="1"/>
  <c r="G36" i="80"/>
  <c r="F62" i="43"/>
  <c r="F112" i="43" s="1"/>
  <c r="D65" i="43"/>
  <c r="D66" i="43" s="1"/>
  <c r="E61" i="43"/>
  <c r="L17" i="83"/>
  <c r="L13" i="83"/>
  <c r="L30" i="83"/>
  <c r="O12" i="83"/>
  <c r="P48" i="83"/>
  <c r="L48" i="83"/>
  <c r="N47" i="83"/>
  <c r="O46" i="83"/>
  <c r="M45" i="83"/>
  <c r="P43" i="83"/>
  <c r="M38" i="83"/>
  <c r="M36" i="83"/>
  <c r="N34" i="83"/>
  <c r="L25" i="83"/>
  <c r="M23" i="83"/>
  <c r="M21" i="83"/>
  <c r="O20" i="83"/>
  <c r="P18" i="83"/>
  <c r="O16" i="83"/>
  <c r="N15" i="83"/>
  <c r="M13" i="83"/>
  <c r="O49" i="83"/>
  <c r="N28" i="83"/>
  <c r="L52" i="83"/>
  <c r="N30" i="83"/>
  <c r="M30" i="83"/>
  <c r="N44" i="83"/>
  <c r="O42" i="83"/>
  <c r="P41" i="83"/>
  <c r="O40" i="83"/>
  <c r="L39" i="83"/>
  <c r="M37" i="83"/>
  <c r="M35" i="83"/>
  <c r="P33" i="83"/>
  <c r="O32" i="83"/>
  <c r="P31" i="83"/>
  <c r="O27" i="83"/>
  <c r="L26" i="83"/>
  <c r="M24" i="83"/>
  <c r="M22" i="83"/>
  <c r="O19" i="83"/>
  <c r="O17" i="83"/>
  <c r="M14" i="83"/>
  <c r="O51" i="83"/>
  <c r="N12" i="83"/>
  <c r="O48" i="83"/>
  <c r="M47" i="83"/>
  <c r="N46" i="83"/>
  <c r="P45" i="83"/>
  <c r="L45" i="83"/>
  <c r="M44" i="83"/>
  <c r="O43" i="83"/>
  <c r="N42" i="83"/>
  <c r="O41" i="83"/>
  <c r="N40" i="83"/>
  <c r="P39" i="83"/>
  <c r="L38" i="83"/>
  <c r="L37" i="83"/>
  <c r="L36" i="83"/>
  <c r="L35" i="83"/>
  <c r="M34" i="83"/>
  <c r="O33" i="83"/>
  <c r="N32" i="83"/>
  <c r="O31" i="83"/>
  <c r="N27" i="83"/>
  <c r="P26" i="83"/>
  <c r="O25" i="83"/>
  <c r="L24" i="83"/>
  <c r="L23" i="83"/>
  <c r="L22" i="83"/>
  <c r="L21" i="83"/>
  <c r="M20" i="83"/>
  <c r="N19" i="83"/>
  <c r="O18" i="83"/>
  <c r="M16" i="83"/>
  <c r="L14" i="83"/>
  <c r="L51" i="83"/>
  <c r="F67" i="34"/>
  <c r="G82" i="34" s="1"/>
  <c r="F71" i="34"/>
  <c r="M137" i="34" s="1"/>
  <c r="F61" i="34"/>
  <c r="F66" i="34"/>
  <c r="F81" i="34" s="1"/>
  <c r="C18" i="35"/>
  <c r="F69" i="34"/>
  <c r="F68" i="34"/>
  <c r="F64" i="34"/>
  <c r="F80" i="34" s="1"/>
  <c r="F84" i="34" s="1"/>
  <c r="C22" i="35"/>
  <c r="C15" i="35"/>
  <c r="C13" i="35"/>
  <c r="K93" i="91"/>
  <c r="I93" i="91"/>
  <c r="G93" i="91"/>
  <c r="H55" i="82"/>
  <c r="H56" i="82" s="1"/>
  <c r="D64" i="82" s="1"/>
  <c r="D37" i="82" s="1"/>
  <c r="K12" i="83"/>
  <c r="K43" i="83"/>
  <c r="K38" i="83"/>
  <c r="K32" i="83"/>
  <c r="K24" i="83"/>
  <c r="K19" i="83"/>
  <c r="K16" i="83"/>
  <c r="K15" i="83"/>
  <c r="K51" i="83"/>
  <c r="K30" i="83"/>
  <c r="K50" i="83"/>
  <c r="K47" i="83"/>
  <c r="K45" i="83"/>
  <c r="K42" i="83"/>
  <c r="K36" i="83"/>
  <c r="K31" i="83"/>
  <c r="K23" i="83"/>
  <c r="K14" i="83"/>
  <c r="K13" i="83"/>
  <c r="K53" i="83"/>
  <c r="K49" i="83"/>
  <c r="K28" i="83"/>
  <c r="N71" i="80"/>
  <c r="N76" i="80" s="1"/>
  <c r="G79" i="80"/>
  <c r="G80" i="80" s="1"/>
  <c r="G73" i="59"/>
  <c r="D89" i="59" s="1"/>
  <c r="L8" i="81" s="1"/>
  <c r="H8" i="81" s="1"/>
  <c r="K41" i="83"/>
  <c r="K37" i="83"/>
  <c r="K33" i="83"/>
  <c r="K26" i="83"/>
  <c r="K22" i="83"/>
  <c r="K18" i="83"/>
  <c r="K17" i="83"/>
  <c r="D23" i="5"/>
  <c r="H22" i="5"/>
  <c r="J22" i="5" s="1"/>
  <c r="I22" i="5"/>
  <c r="E43" i="1"/>
  <c r="L25" i="26"/>
  <c r="L26" i="26" s="1"/>
  <c r="L27" i="26" s="1"/>
  <c r="E54" i="1"/>
  <c r="N40" i="19"/>
  <c r="F13" i="24"/>
  <c r="D12" i="24"/>
  <c r="H9" i="24"/>
  <c r="Q3" i="8"/>
  <c r="R3" i="8" s="1"/>
  <c r="Q4" i="8"/>
  <c r="R4" i="8" s="1"/>
  <c r="Q5" i="8"/>
  <c r="R5" i="8" s="1"/>
  <c r="I23" i="8"/>
  <c r="L23" i="8" s="1"/>
  <c r="J23" i="8"/>
  <c r="K23" i="8"/>
  <c r="I7" i="8"/>
  <c r="J7" i="8"/>
  <c r="K7" i="8"/>
  <c r="C8" i="42"/>
  <c r="H25" i="26"/>
  <c r="J27" i="26"/>
  <c r="F27" i="26"/>
  <c r="F28" i="26" s="1"/>
  <c r="H21" i="5"/>
  <c r="I21" i="5"/>
  <c r="E13" i="24"/>
  <c r="P19" i="24"/>
  <c r="P21" i="24"/>
  <c r="J12" i="24"/>
  <c r="J13" i="24" s="1"/>
  <c r="H10" i="24"/>
  <c r="G25" i="16"/>
  <c r="N18" i="16"/>
  <c r="O18" i="16" s="1"/>
  <c r="L29" i="8"/>
  <c r="I27" i="8"/>
  <c r="J27" i="8"/>
  <c r="K27" i="8"/>
  <c r="L13" i="8"/>
  <c r="I11" i="8"/>
  <c r="J11" i="8"/>
  <c r="K11" i="8"/>
  <c r="G6" i="41"/>
  <c r="H6" i="41" s="1"/>
  <c r="I6" i="41" s="1"/>
  <c r="G1" i="41"/>
  <c r="F53" i="1"/>
  <c r="K28" i="26"/>
  <c r="I26" i="26"/>
  <c r="I27" i="26" s="1"/>
  <c r="K40" i="19"/>
  <c r="L40" i="19"/>
  <c r="F9" i="24"/>
  <c r="E10" i="24"/>
  <c r="G11" i="24"/>
  <c r="E12" i="24"/>
  <c r="G13" i="24"/>
  <c r="D9" i="24"/>
  <c r="G9" i="24"/>
  <c r="F10" i="24"/>
  <c r="D11" i="24"/>
  <c r="H11" i="24"/>
  <c r="F12" i="24"/>
  <c r="D13" i="24"/>
  <c r="H13" i="24"/>
  <c r="E29" i="8"/>
  <c r="Q29" i="8"/>
  <c r="R29" i="8" s="1"/>
  <c r="U29" i="8"/>
  <c r="V29" i="8" s="1"/>
  <c r="E28" i="8"/>
  <c r="Q28" i="8"/>
  <c r="R28" i="8" s="1"/>
  <c r="U28" i="8"/>
  <c r="V28" i="8" s="1"/>
  <c r="E27" i="8"/>
  <c r="Q27" i="8"/>
  <c r="R27" i="8" s="1"/>
  <c r="U27" i="8"/>
  <c r="V27" i="8" s="1"/>
  <c r="E26" i="8"/>
  <c r="Q26" i="8"/>
  <c r="R26" i="8" s="1"/>
  <c r="U26" i="8"/>
  <c r="V26" i="8" s="1"/>
  <c r="E25" i="8"/>
  <c r="Q25" i="8"/>
  <c r="R25" i="8" s="1"/>
  <c r="U25" i="8"/>
  <c r="V25" i="8" s="1"/>
  <c r="E24" i="8"/>
  <c r="Q24" i="8"/>
  <c r="R24" i="8" s="1"/>
  <c r="U24" i="8"/>
  <c r="V24" i="8" s="1"/>
  <c r="E23" i="8"/>
  <c r="Q23" i="8"/>
  <c r="R23" i="8" s="1"/>
  <c r="U23" i="8"/>
  <c r="V23" i="8" s="1"/>
  <c r="E22" i="8"/>
  <c r="Q22" i="8"/>
  <c r="R22" i="8" s="1"/>
  <c r="U22" i="8"/>
  <c r="V22" i="8" s="1"/>
  <c r="E21" i="8"/>
  <c r="Q21" i="8"/>
  <c r="R21" i="8" s="1"/>
  <c r="U21" i="8"/>
  <c r="V21" i="8" s="1"/>
  <c r="E20" i="8"/>
  <c r="Q20" i="8"/>
  <c r="R20" i="8" s="1"/>
  <c r="U20" i="8"/>
  <c r="V20" i="8" s="1"/>
  <c r="E19" i="8"/>
  <c r="Q19" i="8"/>
  <c r="R19" i="8" s="1"/>
  <c r="U19" i="8"/>
  <c r="V19" i="8" s="1"/>
  <c r="E18" i="8"/>
  <c r="Q18" i="8"/>
  <c r="R18" i="8" s="1"/>
  <c r="U18" i="8"/>
  <c r="V18" i="8" s="1"/>
  <c r="E17" i="8"/>
  <c r="Q17" i="8"/>
  <c r="R17" i="8" s="1"/>
  <c r="U17" i="8"/>
  <c r="V17" i="8" s="1"/>
  <c r="E16" i="8"/>
  <c r="Q16" i="8"/>
  <c r="R16" i="8" s="1"/>
  <c r="U16" i="8"/>
  <c r="V16" i="8" s="1"/>
  <c r="E15" i="8"/>
  <c r="Q15" i="8"/>
  <c r="R15" i="8" s="1"/>
  <c r="U15" i="8"/>
  <c r="V15" i="8" s="1"/>
  <c r="E14" i="8"/>
  <c r="Q14" i="8"/>
  <c r="R14" i="8" s="1"/>
  <c r="U14" i="8"/>
  <c r="V14" i="8" s="1"/>
  <c r="E13" i="8"/>
  <c r="Q13" i="8"/>
  <c r="R13" i="8" s="1"/>
  <c r="U13" i="8"/>
  <c r="V13" i="8" s="1"/>
  <c r="E12" i="8"/>
  <c r="Q12" i="8"/>
  <c r="R12" i="8" s="1"/>
  <c r="U12" i="8"/>
  <c r="V12" i="8" s="1"/>
  <c r="E11" i="8"/>
  <c r="Q11" i="8"/>
  <c r="R11" i="8" s="1"/>
  <c r="U11" i="8"/>
  <c r="V11" i="8" s="1"/>
  <c r="E10" i="8"/>
  <c r="Q10" i="8"/>
  <c r="R10" i="8" s="1"/>
  <c r="U10" i="8"/>
  <c r="V10" i="8" s="1"/>
  <c r="E9" i="8"/>
  <c r="Q9" i="8"/>
  <c r="R9" i="8" s="1"/>
  <c r="U9" i="8"/>
  <c r="V9" i="8" s="1"/>
  <c r="E8" i="8"/>
  <c r="Q8" i="8"/>
  <c r="R8" i="8" s="1"/>
  <c r="U8" i="8"/>
  <c r="V8" i="8" s="1"/>
  <c r="E7" i="8"/>
  <c r="Q7" i="8"/>
  <c r="R7" i="8" s="1"/>
  <c r="U7" i="8"/>
  <c r="V7" i="8" s="1"/>
  <c r="E6" i="8"/>
  <c r="Q6" i="8"/>
  <c r="R6" i="8" s="1"/>
  <c r="U6" i="8"/>
  <c r="V6" i="8" s="1"/>
  <c r="I15" i="8"/>
  <c r="J15" i="8"/>
  <c r="K15" i="8"/>
  <c r="G7" i="41"/>
  <c r="H7" i="41" s="1"/>
  <c r="I7" i="41" s="1"/>
  <c r="J28" i="26"/>
  <c r="I19" i="8"/>
  <c r="J19" i="8"/>
  <c r="K19" i="8"/>
  <c r="U3" i="8"/>
  <c r="V3" i="8" s="1"/>
  <c r="U4" i="8"/>
  <c r="V4" i="8" s="1"/>
  <c r="I3" i="8"/>
  <c r="J3" i="8"/>
  <c r="K3" i="8"/>
  <c r="E14" i="35"/>
  <c r="F15" i="35"/>
  <c r="G8" i="41"/>
  <c r="H8" i="41" s="1"/>
  <c r="I8" i="41" s="1"/>
  <c r="E5" i="42"/>
  <c r="H33" i="3" s="1"/>
  <c r="J28" i="8"/>
  <c r="L28" i="8" s="1"/>
  <c r="J24" i="8"/>
  <c r="L24" i="8" s="1"/>
  <c r="J20" i="8"/>
  <c r="L20" i="8" s="1"/>
  <c r="J16" i="8"/>
  <c r="L16" i="8" s="1"/>
  <c r="J12" i="8"/>
  <c r="L12" i="8" s="1"/>
  <c r="J8" i="8"/>
  <c r="L8" i="8" s="1"/>
  <c r="J4" i="8"/>
  <c r="E13" i="35"/>
  <c r="P37" i="16"/>
  <c r="G45" i="16" s="1" a="1"/>
  <c r="G45" i="16" s="1"/>
  <c r="J5" i="41"/>
  <c r="L5" i="41" s="1"/>
  <c r="J4" i="41"/>
  <c r="L4" i="41" s="1"/>
  <c r="J3" i="41"/>
  <c r="L3" i="41" s="1"/>
  <c r="J2" i="41"/>
  <c r="F3" i="42"/>
  <c r="D5" i="42"/>
  <c r="D13" i="23"/>
  <c r="B5" i="11"/>
  <c r="Q8" i="44"/>
  <c r="F12" i="44"/>
  <c r="P11" i="44"/>
  <c r="N11" i="44"/>
  <c r="E11" i="44"/>
  <c r="N9" i="44"/>
  <c r="P9" i="44"/>
  <c r="F61" i="43"/>
  <c r="F80" i="43" s="1"/>
  <c r="G60" i="43"/>
  <c r="F73" i="43"/>
  <c r="G81" i="43"/>
  <c r="G62" i="43"/>
  <c r="G112" i="43" s="1"/>
  <c r="E80" i="43"/>
  <c r="G83" i="34"/>
  <c r="G95" i="34"/>
  <c r="E10" i="44"/>
  <c r="E77" i="43"/>
  <c r="F64" i="43" s="1"/>
  <c r="F77" i="43"/>
  <c r="H47" i="30"/>
  <c r="I47" i="30"/>
  <c r="K43" i="30"/>
  <c r="K47" i="30"/>
  <c r="J12" i="46"/>
  <c r="J13" i="46" s="1"/>
  <c r="K44" i="30"/>
  <c r="K48" i="30"/>
  <c r="K21" i="46"/>
  <c r="K45" i="30"/>
  <c r="E64" i="43"/>
  <c r="E65" i="43" s="1"/>
  <c r="E76" i="43"/>
  <c r="F76" i="43" s="1"/>
  <c r="E73" i="43"/>
  <c r="H43" i="30"/>
  <c r="I43" i="30"/>
  <c r="H2" i="46" s="1"/>
  <c r="J47" i="30"/>
  <c r="S3" i="48"/>
  <c r="L13" i="46"/>
  <c r="B6" i="35"/>
  <c r="C20" i="35"/>
  <c r="C16" i="35"/>
  <c r="F15" i="48"/>
  <c r="S6" i="48" s="1"/>
  <c r="K13" i="46"/>
  <c r="R4" i="48"/>
  <c r="F7" i="48"/>
  <c r="S4" i="48" s="1"/>
  <c r="P17" i="24"/>
  <c r="P20" i="24"/>
  <c r="J4" i="51"/>
  <c r="K4" i="51"/>
  <c r="D11" i="63"/>
  <c r="D13" i="63"/>
  <c r="O4" i="48"/>
  <c r="P4" i="48" s="1"/>
  <c r="I12" i="48" s="1"/>
  <c r="K12" i="48" s="1"/>
  <c r="L4" i="51"/>
  <c r="C6" i="51"/>
  <c r="B7" i="51"/>
  <c r="I6" i="51"/>
  <c r="B6" i="63"/>
  <c r="D5" i="51"/>
  <c r="N4" i="51"/>
  <c r="U11" i="83"/>
  <c r="D29" i="65"/>
  <c r="E43" i="86"/>
  <c r="D18" i="63"/>
  <c r="E13" i="63"/>
  <c r="E11" i="63"/>
  <c r="D73" i="82"/>
  <c r="P30" i="83"/>
  <c r="P49" i="83"/>
  <c r="P50" i="83"/>
  <c r="P51" i="83"/>
  <c r="P28" i="83"/>
  <c r="P13" i="83"/>
  <c r="P15" i="83"/>
  <c r="P17" i="83"/>
  <c r="P19" i="83"/>
  <c r="P21" i="83"/>
  <c r="P23" i="83"/>
  <c r="P25" i="83"/>
  <c r="P27" i="83"/>
  <c r="P32" i="83"/>
  <c r="P34" i="83"/>
  <c r="P36" i="83"/>
  <c r="P38" i="83"/>
  <c r="P40" i="83"/>
  <c r="P42" i="83"/>
  <c r="P29" i="83"/>
  <c r="N29" i="83"/>
  <c r="N14" i="83"/>
  <c r="N16" i="83"/>
  <c r="N18" i="83"/>
  <c r="N20" i="83"/>
  <c r="N22" i="83"/>
  <c r="N24" i="83"/>
  <c r="N26" i="83"/>
  <c r="N31" i="83"/>
  <c r="N33" i="83"/>
  <c r="N35" i="83"/>
  <c r="N37" i="83"/>
  <c r="N39" i="83"/>
  <c r="N41" i="83"/>
  <c r="N43" i="83"/>
  <c r="B54" i="83"/>
  <c r="M53" i="83"/>
  <c r="N53" i="83"/>
  <c r="N51" i="83"/>
  <c r="N50" i="83"/>
  <c r="N49" i="83"/>
  <c r="M28" i="83"/>
  <c r="L29" i="83"/>
  <c r="G11" i="63"/>
  <c r="G14" i="63" s="1"/>
  <c r="P52" i="83"/>
  <c r="I79" i="91"/>
  <c r="G63" i="91"/>
  <c r="G76" i="91"/>
  <c r="G60" i="91"/>
  <c r="L15" i="83"/>
  <c r="M51" i="83"/>
  <c r="M50" i="83"/>
  <c r="M49" i="83"/>
  <c r="L28" i="83"/>
  <c r="H16" i="63"/>
  <c r="N52" i="83"/>
  <c r="M52" i="83"/>
  <c r="G79" i="91"/>
  <c r="K52" i="83"/>
  <c r="O52" i="83"/>
  <c r="H53" i="89"/>
  <c r="G55" i="89"/>
  <c r="I76" i="91"/>
  <c r="I85" i="91" l="1"/>
  <c r="M36" i="82"/>
  <c r="L12" i="81"/>
  <c r="H12" i="81" s="1"/>
  <c r="E104" i="91"/>
  <c r="E85" i="91"/>
  <c r="M74" i="80"/>
  <c r="N75" i="80"/>
  <c r="I96" i="34"/>
  <c r="D13" i="35"/>
  <c r="I13" i="35" s="1"/>
  <c r="J13" i="35" s="1"/>
  <c r="K54" i="59"/>
  <c r="D55" i="59" s="1"/>
  <c r="K5" i="51"/>
  <c r="G2" i="46"/>
  <c r="H96" i="34"/>
  <c r="I83" i="34" s="1"/>
  <c r="J79" i="34"/>
  <c r="J96" i="34" s="1"/>
  <c r="K83" i="34" s="1"/>
  <c r="K127" i="34" s="1"/>
  <c r="J6" i="41"/>
  <c r="L6" i="41" s="1"/>
  <c r="L11" i="8"/>
  <c r="G96" i="34"/>
  <c r="H83" i="34" s="1"/>
  <c r="H127" i="34" s="1"/>
  <c r="N5" i="51"/>
  <c r="L10" i="8"/>
  <c r="E26" i="26"/>
  <c r="D3" i="51"/>
  <c r="M5" i="51"/>
  <c r="C21" i="2"/>
  <c r="H32" i="11"/>
  <c r="H33" i="11" s="1"/>
  <c r="F13" i="63"/>
  <c r="F11" i="63"/>
  <c r="M4" i="51"/>
  <c r="K65" i="86"/>
  <c r="H65" i="86" s="1"/>
  <c r="N13" i="46"/>
  <c r="I14" i="46" s="1"/>
  <c r="I15" i="46" s="1"/>
  <c r="G76" i="43"/>
  <c r="D67" i="43"/>
  <c r="J5" i="51"/>
  <c r="D4" i="51"/>
  <c r="C4" i="51"/>
  <c r="C5" i="51"/>
  <c r="J22" i="24"/>
  <c r="O21" i="24"/>
  <c r="H6" i="48"/>
  <c r="J5" i="48"/>
  <c r="I2" i="46"/>
  <c r="E6" i="42"/>
  <c r="E7" i="42" s="1"/>
  <c r="E8" i="42" s="1"/>
  <c r="E9" i="42" s="1"/>
  <c r="E10" i="42" s="1"/>
  <c r="E11" i="42" s="1"/>
  <c r="L4" i="8"/>
  <c r="H92" i="34"/>
  <c r="X5" i="8"/>
  <c r="W5" i="8"/>
  <c r="D6" i="51"/>
  <c r="I13" i="46"/>
  <c r="I16" i="46" s="1"/>
  <c r="R46" i="83"/>
  <c r="X46" i="83" s="1"/>
  <c r="M22" i="56" s="1"/>
  <c r="T46" i="83"/>
  <c r="Z46" i="83" s="1"/>
  <c r="M59" i="56" s="1"/>
  <c r="T44" i="83"/>
  <c r="Z44" i="83" s="1"/>
  <c r="M82" i="55" s="1"/>
  <c r="S46" i="83"/>
  <c r="Y46" i="83" s="1"/>
  <c r="M44" i="56" s="1"/>
  <c r="Q46" i="83"/>
  <c r="W46" i="83" s="1"/>
  <c r="M4" i="56" s="1"/>
  <c r="Q44" i="83"/>
  <c r="W44" i="83" s="1"/>
  <c r="M4" i="55" s="1"/>
  <c r="S44" i="83"/>
  <c r="Y44" i="83" s="1"/>
  <c r="M64" i="55" s="1"/>
  <c r="Q47" i="83"/>
  <c r="W47" i="83" s="1"/>
  <c r="M4" i="78" s="1"/>
  <c r="T45" i="83"/>
  <c r="Z45" i="83" s="1"/>
  <c r="T48" i="83"/>
  <c r="Z48" i="83" s="1"/>
  <c r="M128" i="57" s="1"/>
  <c r="R44" i="83"/>
  <c r="X44" i="83" s="1"/>
  <c r="M44" i="55" s="1"/>
  <c r="G132" i="34"/>
  <c r="K81" i="34"/>
  <c r="K131" i="34" s="1"/>
  <c r="G81" i="34"/>
  <c r="G131" i="34" s="1"/>
  <c r="R45" i="83"/>
  <c r="X45" i="83" s="1"/>
  <c r="S48" i="83"/>
  <c r="Y48" i="83" s="1"/>
  <c r="M69" i="57" s="1"/>
  <c r="J81" i="34"/>
  <c r="J131" i="34" s="1"/>
  <c r="L81" i="34"/>
  <c r="L131" i="34" s="1"/>
  <c r="I80" i="34"/>
  <c r="I99" i="34" s="1"/>
  <c r="S45" i="83"/>
  <c r="Y45" i="83" s="1"/>
  <c r="Q48" i="83"/>
  <c r="W48" i="83" s="1"/>
  <c r="M4" i="57" s="1"/>
  <c r="R48" i="83"/>
  <c r="X48" i="83" s="1"/>
  <c r="M35" i="57" s="1"/>
  <c r="R47" i="83"/>
  <c r="X47" i="83" s="1"/>
  <c r="M33" i="78" s="1"/>
  <c r="T47" i="83"/>
  <c r="Z47" i="83" s="1"/>
  <c r="M112" i="78" s="1"/>
  <c r="Q30" i="83"/>
  <c r="W30" i="83" s="1"/>
  <c r="AJ4" i="13" s="1"/>
  <c r="H80" i="34"/>
  <c r="H99" i="34" s="1"/>
  <c r="I81" i="34"/>
  <c r="I131" i="34" s="1"/>
  <c r="H81" i="34"/>
  <c r="H131" i="34" s="1"/>
  <c r="G80" i="34"/>
  <c r="G99" i="34" s="1"/>
  <c r="M81" i="34"/>
  <c r="M131" i="34" s="1"/>
  <c r="Q45" i="83"/>
  <c r="W45" i="83" s="1"/>
  <c r="T12" i="83"/>
  <c r="Z12" i="83" s="1"/>
  <c r="I92" i="34"/>
  <c r="F85" i="34"/>
  <c r="F86" i="34" s="1"/>
  <c r="F87" i="34" s="1"/>
  <c r="F88" i="34" s="1"/>
  <c r="Q12" i="83"/>
  <c r="W12" i="83" s="1"/>
  <c r="P4" i="1" s="1"/>
  <c r="G92" i="34"/>
  <c r="G110" i="34" s="1"/>
  <c r="G128" i="34" s="1"/>
  <c r="S12" i="83"/>
  <c r="Y12" i="83" s="1"/>
  <c r="S47" i="83"/>
  <c r="Y47" i="83" s="1"/>
  <c r="M68" i="78" s="1"/>
  <c r="R12" i="83"/>
  <c r="X12" i="83" s="1"/>
  <c r="P26" i="1" s="1"/>
  <c r="S49" i="83"/>
  <c r="Y49" i="83" s="1"/>
  <c r="T52" i="83"/>
  <c r="Z52" i="83" s="1"/>
  <c r="T28" i="83"/>
  <c r="Z28" i="83" s="1"/>
  <c r="S50" i="83"/>
  <c r="Y50" i="83" s="1"/>
  <c r="E14" i="63"/>
  <c r="E16" i="63" s="1"/>
  <c r="E66" i="43"/>
  <c r="E67" i="43" s="1"/>
  <c r="T53" i="83"/>
  <c r="Z53" i="83" s="1"/>
  <c r="Q53" i="83"/>
  <c r="W53" i="83" s="1"/>
  <c r="R39" i="83"/>
  <c r="X39" i="83" s="1"/>
  <c r="M32" i="86" s="1"/>
  <c r="Q39" i="83"/>
  <c r="W39" i="83" s="1"/>
  <c r="M4" i="86" s="1"/>
  <c r="T39" i="83"/>
  <c r="Z39" i="83" s="1"/>
  <c r="S39" i="83"/>
  <c r="Y39" i="83" s="1"/>
  <c r="M57" i="86" s="1"/>
  <c r="Q31" i="83"/>
  <c r="W31" i="83" s="1"/>
  <c r="M4" i="68" s="1"/>
  <c r="S31" i="83"/>
  <c r="Y31" i="83" s="1"/>
  <c r="M68" i="68" s="1"/>
  <c r="T31" i="83"/>
  <c r="Z31" i="83" s="1"/>
  <c r="M106" i="68" s="1"/>
  <c r="R31" i="83"/>
  <c r="X31" i="83" s="1"/>
  <c r="M50" i="68" s="1"/>
  <c r="S20" i="83"/>
  <c r="Y20" i="83" s="1"/>
  <c r="T20" i="83"/>
  <c r="Z20" i="83" s="1"/>
  <c r="Q20" i="83"/>
  <c r="W20" i="83" s="1"/>
  <c r="K5" i="26" s="1"/>
  <c r="R20" i="83"/>
  <c r="X20" i="83" s="1"/>
  <c r="S38" i="83"/>
  <c r="Y38" i="83" s="1"/>
  <c r="T38" i="83"/>
  <c r="Z38" i="83" s="1"/>
  <c r="R38" i="83"/>
  <c r="X38" i="83" s="1"/>
  <c r="M44" i="65" s="1"/>
  <c r="Q38" i="83"/>
  <c r="W38" i="83" s="1"/>
  <c r="M4" i="65" s="1"/>
  <c r="S27" i="83"/>
  <c r="Y27" i="83" s="1"/>
  <c r="T27" i="83"/>
  <c r="Z27" i="83" s="1"/>
  <c r="R27" i="83"/>
  <c r="X27" i="83" s="1"/>
  <c r="Q27" i="83"/>
  <c r="W27" i="83" s="1"/>
  <c r="K4" i="21" s="1"/>
  <c r="S19" i="83"/>
  <c r="Y19" i="83" s="1"/>
  <c r="T19" i="83"/>
  <c r="Z19" i="83" s="1"/>
  <c r="Q19" i="83"/>
  <c r="W19" i="83" s="1"/>
  <c r="N4" i="16" s="1"/>
  <c r="R19" i="83"/>
  <c r="X19" i="83" s="1"/>
  <c r="S30" i="83"/>
  <c r="Y30" i="83" s="1"/>
  <c r="R30" i="83"/>
  <c r="X30" i="83" s="1"/>
  <c r="I7" i="51"/>
  <c r="D7" i="51"/>
  <c r="B8" i="51"/>
  <c r="C7" i="51"/>
  <c r="L20" i="24"/>
  <c r="I16" i="48"/>
  <c r="K16" i="48" s="1"/>
  <c r="I4" i="48"/>
  <c r="K4" i="48" s="1"/>
  <c r="L21" i="46"/>
  <c r="L46" i="30"/>
  <c r="L43" i="30"/>
  <c r="L47" i="30"/>
  <c r="L44" i="30"/>
  <c r="L48" i="30"/>
  <c r="L45" i="30"/>
  <c r="F92" i="43"/>
  <c r="F110" i="43" s="1"/>
  <c r="L9" i="44"/>
  <c r="Q9" i="44"/>
  <c r="L10" i="44"/>
  <c r="M32" i="3"/>
  <c r="F4" i="42"/>
  <c r="F5" i="42" s="1"/>
  <c r="F6" i="42" s="1"/>
  <c r="F7" i="42" s="1"/>
  <c r="F8" i="42" s="1"/>
  <c r="F9" i="42" s="1"/>
  <c r="F10" i="42" s="1"/>
  <c r="F11" i="42" s="1"/>
  <c r="L32" i="3"/>
  <c r="L35" i="3"/>
  <c r="J8" i="41"/>
  <c r="L8" i="41" s="1"/>
  <c r="E15" i="35"/>
  <c r="F16" i="35"/>
  <c r="W3" i="8"/>
  <c r="X3" i="8"/>
  <c r="L19" i="8"/>
  <c r="J7" i="41"/>
  <c r="L7" i="41" s="1"/>
  <c r="L15" i="8"/>
  <c r="H1" i="41"/>
  <c r="L21" i="24"/>
  <c r="J20" i="5"/>
  <c r="J19" i="5"/>
  <c r="J21" i="5"/>
  <c r="C9" i="42"/>
  <c r="G37" i="3"/>
  <c r="H37" i="3"/>
  <c r="M37" i="3"/>
  <c r="I37" i="3"/>
  <c r="S3" i="8"/>
  <c r="T3" i="8"/>
  <c r="B55" i="83"/>
  <c r="M54" i="83"/>
  <c r="N54" i="83"/>
  <c r="K54" i="83"/>
  <c r="O54" i="83"/>
  <c r="L54" i="83"/>
  <c r="P54" i="83"/>
  <c r="R37" i="83"/>
  <c r="X37" i="83" s="1"/>
  <c r="M21" i="53" s="1"/>
  <c r="T37" i="83"/>
  <c r="Z37" i="83" s="1"/>
  <c r="S37" i="83"/>
  <c r="Y37" i="83" s="1"/>
  <c r="M41" i="53" s="1"/>
  <c r="Q37" i="83"/>
  <c r="W37" i="83" s="1"/>
  <c r="M4" i="53" s="1"/>
  <c r="S26" i="83"/>
  <c r="Y26" i="83" s="1"/>
  <c r="R26" i="83"/>
  <c r="X26" i="83" s="1"/>
  <c r="T26" i="83"/>
  <c r="Z26" i="83" s="1"/>
  <c r="Q26" i="83"/>
  <c r="W26" i="83" s="1"/>
  <c r="K4" i="43" s="1"/>
  <c r="S18" i="83"/>
  <c r="Y18" i="83" s="1"/>
  <c r="R18" i="83"/>
  <c r="X18" i="83" s="1"/>
  <c r="T18" i="83"/>
  <c r="Z18" i="83" s="1"/>
  <c r="Q18" i="83"/>
  <c r="W18" i="83" s="1"/>
  <c r="M4" i="2" s="1"/>
  <c r="R36" i="83"/>
  <c r="X36" i="83" s="1"/>
  <c r="M32" i="70" s="1"/>
  <c r="S36" i="83"/>
  <c r="Y36" i="83" s="1"/>
  <c r="M69" i="70" s="1"/>
  <c r="T36" i="83"/>
  <c r="Z36" i="83" s="1"/>
  <c r="Q36" i="83"/>
  <c r="W36" i="83" s="1"/>
  <c r="M4" i="70" s="1"/>
  <c r="S25" i="83"/>
  <c r="Y25" i="83" s="1"/>
  <c r="Q25" i="83"/>
  <c r="W25" i="83" s="1"/>
  <c r="L4" i="47" s="1"/>
  <c r="R25" i="83"/>
  <c r="X25" i="83" s="1"/>
  <c r="T25" i="83"/>
  <c r="Z25" i="83" s="1"/>
  <c r="T17" i="83"/>
  <c r="Z17" i="83" s="1"/>
  <c r="S17" i="83"/>
  <c r="Y17" i="83" s="1"/>
  <c r="R17" i="83"/>
  <c r="X17" i="83" s="1"/>
  <c r="Q17" i="83"/>
  <c r="W17" i="83" s="1"/>
  <c r="S4" i="30" s="1"/>
  <c r="R53" i="83"/>
  <c r="X53" i="83" s="1"/>
  <c r="T30" i="83"/>
  <c r="Z30" i="83" s="1"/>
  <c r="L17" i="24"/>
  <c r="I8" i="48"/>
  <c r="K8" i="48" s="1"/>
  <c r="L16" i="46"/>
  <c r="E91" i="43"/>
  <c r="E109" i="43" s="1"/>
  <c r="F91" i="43"/>
  <c r="F109" i="43" s="1"/>
  <c r="E89" i="43"/>
  <c r="E108" i="43"/>
  <c r="J2" i="46"/>
  <c r="G108" i="34"/>
  <c r="G127" i="34"/>
  <c r="P12" i="44"/>
  <c r="E12" i="44"/>
  <c r="F13" i="44"/>
  <c r="N12" i="44"/>
  <c r="L2" i="41"/>
  <c r="I35" i="3"/>
  <c r="I33" i="3"/>
  <c r="H34" i="3"/>
  <c r="G35" i="3"/>
  <c r="I34" i="3"/>
  <c r="H35" i="3"/>
  <c r="G36" i="3"/>
  <c r="K9" i="24" a="1"/>
  <c r="L27" i="8"/>
  <c r="L19" i="24"/>
  <c r="M36" i="3"/>
  <c r="I28" i="26"/>
  <c r="T51" i="83"/>
  <c r="Z51" i="83" s="1"/>
  <c r="R51" i="83"/>
  <c r="X51" i="83" s="1"/>
  <c r="M51" i="87" s="1"/>
  <c r="Q51" i="83"/>
  <c r="W51" i="83" s="1"/>
  <c r="M4" i="87" s="1"/>
  <c r="H55" i="89"/>
  <c r="I53" i="89"/>
  <c r="S28" i="83"/>
  <c r="Y28" i="83" s="1"/>
  <c r="Q28" i="83"/>
  <c r="W28" i="83" s="1"/>
  <c r="L4" i="50" s="1"/>
  <c r="S15" i="83"/>
  <c r="Y15" i="83" s="1"/>
  <c r="T15" i="83"/>
  <c r="Z15" i="83" s="1"/>
  <c r="R15" i="83"/>
  <c r="X15" i="83" s="1"/>
  <c r="Q15" i="83"/>
  <c r="W15" i="83" s="1"/>
  <c r="K4" i="15" s="1"/>
  <c r="S29" i="83"/>
  <c r="Y29" i="83" s="1"/>
  <c r="R29" i="83"/>
  <c r="X29" i="83" s="1"/>
  <c r="Q29" i="83"/>
  <c r="W29" i="83" s="1"/>
  <c r="T49" i="83"/>
  <c r="Z49" i="83" s="1"/>
  <c r="R49" i="83"/>
  <c r="X49" i="83" s="1"/>
  <c r="M30" i="84" s="1"/>
  <c r="Q49" i="83"/>
  <c r="W49" i="83" s="1"/>
  <c r="M4" i="84" s="1"/>
  <c r="K63" i="91"/>
  <c r="K79" i="91" s="1"/>
  <c r="K76" i="91"/>
  <c r="S53" i="83"/>
  <c r="Y53" i="83" s="1"/>
  <c r="T43" i="83"/>
  <c r="Z43" i="83" s="1"/>
  <c r="S43" i="83"/>
  <c r="Y43" i="83" s="1"/>
  <c r="M62" i="72" s="1"/>
  <c r="Q43" i="83"/>
  <c r="W43" i="83" s="1"/>
  <c r="M4" i="72" s="1"/>
  <c r="R43" i="83"/>
  <c r="X43" i="83" s="1"/>
  <c r="M32" i="72" s="1"/>
  <c r="Q35" i="83"/>
  <c r="W35" i="83" s="1"/>
  <c r="M4" i="69" s="1"/>
  <c r="T35" i="83"/>
  <c r="Z35" i="83" s="1"/>
  <c r="S35" i="83"/>
  <c r="Y35" i="83" s="1"/>
  <c r="M39" i="69" s="1"/>
  <c r="R35" i="83"/>
  <c r="X35" i="83" s="1"/>
  <c r="M21" i="69" s="1"/>
  <c r="S24" i="83"/>
  <c r="Y24" i="83" s="1"/>
  <c r="T24" i="83"/>
  <c r="Z24" i="83" s="1"/>
  <c r="Q24" i="83"/>
  <c r="W24" i="83" s="1"/>
  <c r="AC4" i="22" s="1"/>
  <c r="R24" i="83"/>
  <c r="X24" i="83" s="1"/>
  <c r="S16" i="83"/>
  <c r="Y16" i="83" s="1"/>
  <c r="T16" i="83"/>
  <c r="Z16" i="83" s="1"/>
  <c r="Q16" i="83"/>
  <c r="W16" i="83" s="1"/>
  <c r="K4" i="3" s="1"/>
  <c r="R16" i="83"/>
  <c r="X16" i="83" s="1"/>
  <c r="R42" i="83"/>
  <c r="X42" i="83" s="1"/>
  <c r="M26" i="71" s="1"/>
  <c r="T42" i="83"/>
  <c r="Z42" i="83" s="1"/>
  <c r="M65" i="71" s="1"/>
  <c r="S42" i="83"/>
  <c r="Y42" i="83" s="1"/>
  <c r="M49" i="71" s="1"/>
  <c r="Q42" i="83"/>
  <c r="W42" i="83" s="1"/>
  <c r="M4" i="71" s="1"/>
  <c r="T34" i="83"/>
  <c r="Z34" i="83" s="1"/>
  <c r="M86" i="52" s="1"/>
  <c r="Q34" i="83"/>
  <c r="W34" i="83" s="1"/>
  <c r="M4" i="52" s="1"/>
  <c r="R34" i="83"/>
  <c r="X34" i="83" s="1"/>
  <c r="M36" i="52" s="1"/>
  <c r="S34" i="83"/>
  <c r="Y34" i="83" s="1"/>
  <c r="M57" i="52" s="1"/>
  <c r="S23" i="83"/>
  <c r="Y23" i="83" s="1"/>
  <c r="T23" i="83"/>
  <c r="Z23" i="83" s="1"/>
  <c r="R23" i="83"/>
  <c r="X23" i="83" s="1"/>
  <c r="Q23" i="83"/>
  <c r="W23" i="83" s="1"/>
  <c r="K4" i="34" s="1"/>
  <c r="E44" i="86"/>
  <c r="F43" i="86"/>
  <c r="T29" i="83"/>
  <c r="Z29" i="83" s="1"/>
  <c r="R28" i="83"/>
  <c r="X28" i="83" s="1"/>
  <c r="F6" i="63"/>
  <c r="G6" i="63" s="1"/>
  <c r="D6" i="63"/>
  <c r="K16" i="46"/>
  <c r="P3" i="48"/>
  <c r="I11" i="48" s="1"/>
  <c r="K11" i="48" s="1"/>
  <c r="F89" i="43"/>
  <c r="F108" i="43"/>
  <c r="E75" i="43"/>
  <c r="H81" i="43"/>
  <c r="H62" i="43"/>
  <c r="H112" i="43" s="1"/>
  <c r="J83" i="34"/>
  <c r="H60" i="43"/>
  <c r="G61" i="43"/>
  <c r="G80" i="43" s="1"/>
  <c r="G77" i="43"/>
  <c r="G73" i="43"/>
  <c r="D69" i="43"/>
  <c r="D68" i="43"/>
  <c r="O8" i="44"/>
  <c r="M8" i="44"/>
  <c r="D5" i="11"/>
  <c r="C5" i="11"/>
  <c r="B7" i="11"/>
  <c r="J80" i="34"/>
  <c r="J99" i="34" s="1"/>
  <c r="K35" i="3"/>
  <c r="G33" i="3"/>
  <c r="L3" i="8"/>
  <c r="X6" i="8"/>
  <c r="W6" i="8"/>
  <c r="X7" i="8"/>
  <c r="W7" i="8"/>
  <c r="X8" i="8"/>
  <c r="W8" i="8"/>
  <c r="X9" i="8"/>
  <c r="W9" i="8"/>
  <c r="X10" i="8"/>
  <c r="W10" i="8"/>
  <c r="X11" i="8"/>
  <c r="W11" i="8"/>
  <c r="X12" i="8"/>
  <c r="W12" i="8"/>
  <c r="X13" i="8"/>
  <c r="W13" i="8"/>
  <c r="X14" i="8"/>
  <c r="W14" i="8"/>
  <c r="X15" i="8"/>
  <c r="W15" i="8"/>
  <c r="X16" i="8"/>
  <c r="W16" i="8"/>
  <c r="X17" i="8"/>
  <c r="W17" i="8"/>
  <c r="X18" i="8"/>
  <c r="W18" i="8"/>
  <c r="X19" i="8"/>
  <c r="W19" i="8"/>
  <c r="X20" i="8"/>
  <c r="W20" i="8"/>
  <c r="X21" i="8"/>
  <c r="W21" i="8"/>
  <c r="X22" i="8"/>
  <c r="W22" i="8"/>
  <c r="X23" i="8"/>
  <c r="W23" i="8"/>
  <c r="X24" i="8"/>
  <c r="W24" i="8"/>
  <c r="X25" i="8"/>
  <c r="W25" i="8"/>
  <c r="X26" i="8"/>
  <c r="W26" i="8"/>
  <c r="X27" i="8"/>
  <c r="W27" i="8"/>
  <c r="X28" i="8"/>
  <c r="W28" i="8"/>
  <c r="X29" i="8"/>
  <c r="W29" i="8"/>
  <c r="F54" i="1"/>
  <c r="G53" i="1"/>
  <c r="F43" i="1" s="1"/>
  <c r="H26" i="26"/>
  <c r="H27" i="26" s="1"/>
  <c r="H28" i="26" s="1"/>
  <c r="H36" i="3"/>
  <c r="T5" i="8"/>
  <c r="S5" i="8"/>
  <c r="S52" i="83"/>
  <c r="Y52" i="83" s="1"/>
  <c r="R52" i="83"/>
  <c r="X52" i="83" s="1"/>
  <c r="M21" i="89" s="1"/>
  <c r="Q52" i="83"/>
  <c r="W52" i="83" s="1"/>
  <c r="M4" i="89" s="1"/>
  <c r="Q50" i="83"/>
  <c r="W50" i="83" s="1"/>
  <c r="M4" i="85" s="1"/>
  <c r="T50" i="83"/>
  <c r="Z50" i="83" s="1"/>
  <c r="R50" i="83"/>
  <c r="X50" i="83" s="1"/>
  <c r="M36" i="85" s="1"/>
  <c r="G85" i="91"/>
  <c r="G16" i="63"/>
  <c r="G17" i="63"/>
  <c r="Q41" i="83"/>
  <c r="W41" i="83" s="1"/>
  <c r="M4" i="54" s="1"/>
  <c r="S41" i="83"/>
  <c r="Y41" i="83" s="1"/>
  <c r="M74" i="54" s="1"/>
  <c r="T41" i="83"/>
  <c r="Z41" i="83" s="1"/>
  <c r="M109" i="54" s="1"/>
  <c r="R41" i="83"/>
  <c r="X41" i="83" s="1"/>
  <c r="M49" i="54" s="1"/>
  <c r="Q33" i="83"/>
  <c r="W33" i="83" s="1"/>
  <c r="M4" i="74" s="1"/>
  <c r="T33" i="83"/>
  <c r="Z33" i="83" s="1"/>
  <c r="S33" i="83"/>
  <c r="Y33" i="83" s="1"/>
  <c r="R33" i="83"/>
  <c r="X33" i="83" s="1"/>
  <c r="M19" i="74" s="1"/>
  <c r="S22" i="83"/>
  <c r="Y22" i="83" s="1"/>
  <c r="Q22" i="83"/>
  <c r="W22" i="83" s="1"/>
  <c r="K4" i="49" s="1"/>
  <c r="R22" i="83"/>
  <c r="X22" i="83" s="1"/>
  <c r="T22" i="83"/>
  <c r="Z22" i="83" s="1"/>
  <c r="S14" i="83"/>
  <c r="Y14" i="83" s="1"/>
  <c r="Q14" i="83"/>
  <c r="W14" i="83" s="1"/>
  <c r="N4" i="19" s="1"/>
  <c r="R14" i="83"/>
  <c r="X14" i="83" s="1"/>
  <c r="T14" i="83"/>
  <c r="Z14" i="83" s="1"/>
  <c r="R40" i="83"/>
  <c r="X40" i="83" s="1"/>
  <c r="M30" i="76" s="1"/>
  <c r="S40" i="83"/>
  <c r="Y40" i="83" s="1"/>
  <c r="T40" i="83"/>
  <c r="Z40" i="83" s="1"/>
  <c r="Q40" i="83"/>
  <c r="W40" i="83" s="1"/>
  <c r="M4" i="76" s="1"/>
  <c r="R32" i="83"/>
  <c r="X32" i="83" s="1"/>
  <c r="M19" i="66" s="1"/>
  <c r="Q32" i="83"/>
  <c r="W32" i="83" s="1"/>
  <c r="T32" i="83"/>
  <c r="Z32" i="83" s="1"/>
  <c r="M70" i="66" s="1"/>
  <c r="S32" i="83"/>
  <c r="Y32" i="83" s="1"/>
  <c r="M44" i="66" s="1"/>
  <c r="S21" i="83"/>
  <c r="Y21" i="83" s="1"/>
  <c r="T21" i="83"/>
  <c r="Z21" i="83" s="1"/>
  <c r="R21" i="83"/>
  <c r="X21" i="83" s="1"/>
  <c r="Q21" i="83"/>
  <c r="W21" i="83" s="1"/>
  <c r="K4" i="4" s="1"/>
  <c r="S13" i="83"/>
  <c r="Y13" i="83" s="1"/>
  <c r="R13" i="83"/>
  <c r="X13" i="83" s="1"/>
  <c r="Q13" i="83"/>
  <c r="W13" i="83" s="1"/>
  <c r="N4" i="5" s="1"/>
  <c r="T13" i="83"/>
  <c r="Z13" i="83" s="1"/>
  <c r="U52" i="83"/>
  <c r="AA52" i="83" s="1"/>
  <c r="U30" i="83"/>
  <c r="AA30" i="83" s="1"/>
  <c r="U28" i="83"/>
  <c r="AA28" i="83" s="1"/>
  <c r="U29" i="83"/>
  <c r="AA29" i="83" s="1"/>
  <c r="U38" i="83"/>
  <c r="AA38" i="83" s="1"/>
  <c r="U14" i="83"/>
  <c r="AA14" i="83" s="1"/>
  <c r="U53" i="83"/>
  <c r="AA53" i="83" s="1"/>
  <c r="U46" i="83"/>
  <c r="AA46" i="83" s="1"/>
  <c r="U41" i="83"/>
  <c r="AA41" i="83" s="1"/>
  <c r="U37" i="83"/>
  <c r="AA37" i="83" s="1"/>
  <c r="U33" i="83"/>
  <c r="AA33" i="83" s="1"/>
  <c r="U25" i="83"/>
  <c r="AA25" i="83" s="1"/>
  <c r="U21" i="83"/>
  <c r="AA21" i="83" s="1"/>
  <c r="U17" i="83"/>
  <c r="AA17" i="83" s="1"/>
  <c r="U13" i="83"/>
  <c r="AA13" i="83" s="1"/>
  <c r="U51" i="83"/>
  <c r="AA51" i="83" s="1"/>
  <c r="U45" i="83"/>
  <c r="AA45" i="83" s="1"/>
  <c r="U40" i="83"/>
  <c r="AA40" i="83" s="1"/>
  <c r="U36" i="83"/>
  <c r="AA36" i="83" s="1"/>
  <c r="U31" i="83"/>
  <c r="AA31" i="83" s="1"/>
  <c r="U24" i="83"/>
  <c r="AA24" i="83" s="1"/>
  <c r="U20" i="83"/>
  <c r="AA20" i="83" s="1"/>
  <c r="U16" i="83"/>
  <c r="AA16" i="83" s="1"/>
  <c r="U47" i="83"/>
  <c r="AA47" i="83" s="1"/>
  <c r="M131" i="78" s="1"/>
  <c r="U42" i="83"/>
  <c r="AA42" i="83" s="1"/>
  <c r="U26" i="83"/>
  <c r="AA26" i="83" s="1"/>
  <c r="U18" i="83"/>
  <c r="AA18" i="83" s="1"/>
  <c r="U12" i="83"/>
  <c r="AA12" i="83" s="1"/>
  <c r="U50" i="83"/>
  <c r="AA50" i="83" s="1"/>
  <c r="U43" i="83"/>
  <c r="AA43" i="83" s="1"/>
  <c r="U39" i="83"/>
  <c r="AA39" i="83" s="1"/>
  <c r="U35" i="83"/>
  <c r="AA35" i="83" s="1"/>
  <c r="U27" i="83"/>
  <c r="AA27" i="83" s="1"/>
  <c r="U23" i="83"/>
  <c r="AA23" i="83" s="1"/>
  <c r="U19" i="83"/>
  <c r="AA19" i="83" s="1"/>
  <c r="U15" i="83"/>
  <c r="AA15" i="83" s="1"/>
  <c r="U44" i="83"/>
  <c r="AA44" i="83" s="1"/>
  <c r="M137" i="55" s="1"/>
  <c r="U32" i="83"/>
  <c r="AA32" i="83" s="1"/>
  <c r="M82" i="66" s="1"/>
  <c r="U49" i="83"/>
  <c r="AA49" i="83" s="1"/>
  <c r="U34" i="83"/>
  <c r="AA34" i="83" s="1"/>
  <c r="U22" i="83"/>
  <c r="AA22" i="83" s="1"/>
  <c r="U48" i="83"/>
  <c r="AA48" i="83" s="1"/>
  <c r="M200" i="57" s="1"/>
  <c r="S51" i="83"/>
  <c r="Y51" i="83" s="1"/>
  <c r="M6" i="51"/>
  <c r="K6" i="51"/>
  <c r="N6" i="51"/>
  <c r="L6" i="51"/>
  <c r="J6" i="51"/>
  <c r="J16" i="46"/>
  <c r="P6" i="48"/>
  <c r="I14" i="48" s="1"/>
  <c r="K14" i="48" s="1"/>
  <c r="N16" i="46"/>
  <c r="H14" i="46"/>
  <c r="H15" i="46" s="1"/>
  <c r="P5" i="48"/>
  <c r="I13" i="48" s="1"/>
  <c r="K13" i="48" s="1"/>
  <c r="M13" i="46"/>
  <c r="F75" i="43"/>
  <c r="G64" i="43"/>
  <c r="E92" i="43"/>
  <c r="E110" i="43" s="1"/>
  <c r="L11" i="44"/>
  <c r="Q11" i="44"/>
  <c r="D14" i="23"/>
  <c r="D6" i="42"/>
  <c r="D7" i="42" s="1"/>
  <c r="D8" i="42" s="1"/>
  <c r="D9" i="42" s="1"/>
  <c r="D10" i="42" s="1"/>
  <c r="D11" i="42" s="1"/>
  <c r="G34" i="3"/>
  <c r="W4" i="8"/>
  <c r="X4" i="8"/>
  <c r="T6" i="8"/>
  <c r="S6" i="8"/>
  <c r="T7" i="8"/>
  <c r="S7" i="8"/>
  <c r="T8" i="8"/>
  <c r="S8" i="8"/>
  <c r="T9" i="8"/>
  <c r="S9" i="8"/>
  <c r="T10" i="8"/>
  <c r="S10" i="8"/>
  <c r="T11" i="8"/>
  <c r="S11" i="8"/>
  <c r="T12" i="8"/>
  <c r="S12" i="8"/>
  <c r="T13" i="8"/>
  <c r="S13" i="8"/>
  <c r="T14" i="8"/>
  <c r="S14" i="8"/>
  <c r="T15" i="8"/>
  <c r="S15" i="8"/>
  <c r="T16" i="8"/>
  <c r="S16" i="8"/>
  <c r="T17" i="8"/>
  <c r="S17" i="8"/>
  <c r="T18" i="8"/>
  <c r="S18" i="8"/>
  <c r="T19" i="8"/>
  <c r="S19" i="8"/>
  <c r="T20" i="8"/>
  <c r="S20" i="8"/>
  <c r="T21" i="8"/>
  <c r="S21" i="8"/>
  <c r="T22" i="8"/>
  <c r="S22" i="8"/>
  <c r="T23" i="8"/>
  <c r="S23" i="8"/>
  <c r="T24" i="8"/>
  <c r="S24" i="8"/>
  <c r="T25" i="8"/>
  <c r="S25" i="8"/>
  <c r="T26" i="8"/>
  <c r="S26" i="8"/>
  <c r="T27" i="8"/>
  <c r="S27" i="8"/>
  <c r="T28" i="8"/>
  <c r="S28" i="8"/>
  <c r="T29" i="8"/>
  <c r="S29" i="8"/>
  <c r="I36" i="3"/>
  <c r="L7" i="8"/>
  <c r="S4" i="8"/>
  <c r="T4" i="8"/>
  <c r="L28" i="26"/>
  <c r="H23" i="5"/>
  <c r="J23" i="5" s="1"/>
  <c r="D24" i="5"/>
  <c r="I23" i="5"/>
  <c r="K108" i="34" l="1"/>
  <c r="K79" i="34"/>
  <c r="K96" i="34" s="1"/>
  <c r="J92" i="34"/>
  <c r="J110" i="34" s="1"/>
  <c r="J128" i="34" s="1"/>
  <c r="D14" i="35"/>
  <c r="D15" i="35" s="1"/>
  <c r="I14" i="35" s="1"/>
  <c r="J14" i="35" s="1"/>
  <c r="H108" i="34"/>
  <c r="G94" i="34"/>
  <c r="G115" i="34" s="1"/>
  <c r="G116" i="34" s="1"/>
  <c r="G14" i="46"/>
  <c r="G15" i="46" s="1"/>
  <c r="G17" i="46" s="1"/>
  <c r="G19" i="46" s="1"/>
  <c r="G20" i="46" s="1"/>
  <c r="L37" i="3"/>
  <c r="K32" i="3"/>
  <c r="H95" i="34"/>
  <c r="I95" i="34" s="1"/>
  <c r="J95" i="34" s="1"/>
  <c r="K95" i="34" s="1"/>
  <c r="H7" i="48"/>
  <c r="J6" i="48"/>
  <c r="E27" i="26"/>
  <c r="F3" i="51" s="1"/>
  <c r="G4" i="51" s="1"/>
  <c r="E3" i="51"/>
  <c r="E28" i="26"/>
  <c r="G3" i="51" s="1"/>
  <c r="I10" i="48"/>
  <c r="K10" i="48" s="1"/>
  <c r="E5" i="51"/>
  <c r="G6" i="51"/>
  <c r="E4" i="51"/>
  <c r="F6" i="51"/>
  <c r="E6" i="51"/>
  <c r="K36" i="3"/>
  <c r="M33" i="3"/>
  <c r="K32" i="11"/>
  <c r="K33" i="11" s="1"/>
  <c r="C17" i="11"/>
  <c r="C25" i="2" s="1"/>
  <c r="E17" i="11"/>
  <c r="G7" i="51"/>
  <c r="E7" i="51"/>
  <c r="I110" i="34"/>
  <c r="I128" i="34" s="1"/>
  <c r="O22" i="24"/>
  <c r="P22" i="24"/>
  <c r="L22" i="24" s="1"/>
  <c r="J23" i="24"/>
  <c r="F14" i="63"/>
  <c r="H94" i="34"/>
  <c r="H115" i="34" s="1"/>
  <c r="H116" i="34" s="1"/>
  <c r="G84" i="34"/>
  <c r="G85" i="34" s="1"/>
  <c r="G86" i="34" s="1"/>
  <c r="G107" i="34" s="1"/>
  <c r="I111" i="34"/>
  <c r="I129" i="34" s="1"/>
  <c r="H111" i="34"/>
  <c r="H129" i="34" s="1"/>
  <c r="H110" i="34"/>
  <c r="H128" i="34" s="1"/>
  <c r="E17" i="63"/>
  <c r="K85" i="91"/>
  <c r="U54" i="83"/>
  <c r="AA54" i="83" s="1"/>
  <c r="E88" i="43"/>
  <c r="E93" i="43" s="1"/>
  <c r="E68" i="43"/>
  <c r="E100" i="43" s="1"/>
  <c r="E101" i="43" s="1"/>
  <c r="E107" i="43"/>
  <c r="P13" i="44"/>
  <c r="E13" i="44"/>
  <c r="N13" i="44"/>
  <c r="F14" i="44"/>
  <c r="D7" i="11"/>
  <c r="C7" i="11"/>
  <c r="E35" i="3"/>
  <c r="G111" i="34"/>
  <c r="G129" i="34" s="1"/>
  <c r="C33" i="3"/>
  <c r="O9" i="44"/>
  <c r="M9" i="44"/>
  <c r="M21" i="46"/>
  <c r="M45" i="30"/>
  <c r="M46" i="30"/>
  <c r="M43" i="30"/>
  <c r="M47" i="30"/>
  <c r="M48" i="30"/>
  <c r="M44" i="30"/>
  <c r="I3" i="48"/>
  <c r="K3" i="48" s="1"/>
  <c r="I17" i="48"/>
  <c r="K17" i="48" s="1"/>
  <c r="B9" i="51"/>
  <c r="E8" i="51"/>
  <c r="I8" i="51"/>
  <c r="F8" i="51"/>
  <c r="D8" i="51"/>
  <c r="C8" i="51"/>
  <c r="G8" i="51"/>
  <c r="K7" i="51"/>
  <c r="M7" i="51"/>
  <c r="N7" i="51"/>
  <c r="L7" i="51"/>
  <c r="J7" i="51"/>
  <c r="C32" i="3"/>
  <c r="C35" i="3"/>
  <c r="H61" i="43"/>
  <c r="H80" i="43" s="1"/>
  <c r="I60" i="43"/>
  <c r="H73" i="43"/>
  <c r="H91" i="43" s="1"/>
  <c r="H109" i="43" s="1"/>
  <c r="H77" i="43"/>
  <c r="I108" i="34"/>
  <c r="I127" i="34"/>
  <c r="C36" i="3"/>
  <c r="D34" i="3"/>
  <c r="A1" i="66"/>
  <c r="M4" i="66"/>
  <c r="G75" i="43"/>
  <c r="G111" i="43" s="1"/>
  <c r="H64" i="43"/>
  <c r="J108" i="34"/>
  <c r="J127" i="34"/>
  <c r="D32" i="3"/>
  <c r="C34" i="3"/>
  <c r="E32" i="3"/>
  <c r="H17" i="46"/>
  <c r="H19" i="46" s="1"/>
  <c r="H20" i="46" s="1"/>
  <c r="E45" i="86"/>
  <c r="F45" i="86" s="1"/>
  <c r="F44" i="86"/>
  <c r="J53" i="89"/>
  <c r="I55" i="89"/>
  <c r="K10" i="24"/>
  <c r="K11" i="24"/>
  <c r="K9" i="24"/>
  <c r="K12" i="24"/>
  <c r="K13" i="24"/>
  <c r="Q12" i="44"/>
  <c r="L12" i="44"/>
  <c r="I9" i="48"/>
  <c r="K9" i="48" s="1"/>
  <c r="E18" i="63"/>
  <c r="B56" i="83"/>
  <c r="K55" i="83"/>
  <c r="O55" i="83"/>
  <c r="L55" i="83"/>
  <c r="P55" i="83"/>
  <c r="M55" i="83"/>
  <c r="N55" i="83"/>
  <c r="K37" i="3"/>
  <c r="E38" i="3"/>
  <c r="K38" i="3"/>
  <c r="C10" i="42"/>
  <c r="G38" i="3"/>
  <c r="L38" i="3"/>
  <c r="C38" i="3"/>
  <c r="M38" i="3"/>
  <c r="D38" i="3"/>
  <c r="I38" i="3"/>
  <c r="H38" i="3"/>
  <c r="I13" i="41"/>
  <c r="I1" i="41"/>
  <c r="D35" i="3"/>
  <c r="M34" i="3"/>
  <c r="M35" i="3"/>
  <c r="K34" i="3"/>
  <c r="K2" i="46"/>
  <c r="H76" i="43"/>
  <c r="I5" i="48"/>
  <c r="K5" i="48" s="1"/>
  <c r="I15" i="48"/>
  <c r="K15" i="48" s="1"/>
  <c r="M36" i="59"/>
  <c r="M4" i="59"/>
  <c r="E34" i="3"/>
  <c r="K80" i="34"/>
  <c r="K99" i="34" s="1"/>
  <c r="K92" i="34"/>
  <c r="I62" i="43"/>
  <c r="I112" i="43" s="1"/>
  <c r="I81" i="43"/>
  <c r="D37" i="3"/>
  <c r="E36" i="3"/>
  <c r="G89" i="43"/>
  <c r="G108" i="43"/>
  <c r="I17" i="46"/>
  <c r="I19" i="46" s="1"/>
  <c r="I20" i="46" s="1"/>
  <c r="G54" i="1"/>
  <c r="H53" i="1"/>
  <c r="G43" i="1" s="1"/>
  <c r="D25" i="5"/>
  <c r="I24" i="5"/>
  <c r="H24" i="5"/>
  <c r="J24" i="5" s="1"/>
  <c r="G130" i="34"/>
  <c r="D33" i="3"/>
  <c r="E33" i="3"/>
  <c r="D15" i="23"/>
  <c r="M11" i="44"/>
  <c r="O11" i="44"/>
  <c r="M16" i="46"/>
  <c r="M4" i="8"/>
  <c r="N4" i="8" s="1"/>
  <c r="M5" i="8"/>
  <c r="N5" i="8" s="1"/>
  <c r="M3" i="8"/>
  <c r="N3" i="8" s="1"/>
  <c r="M29" i="8"/>
  <c r="N29" i="8" s="1"/>
  <c r="M28" i="8"/>
  <c r="N28" i="8" s="1"/>
  <c r="M27" i="8"/>
  <c r="N27" i="8" s="1"/>
  <c r="M26" i="8"/>
  <c r="N26" i="8" s="1"/>
  <c r="M25" i="8"/>
  <c r="N25" i="8" s="1"/>
  <c r="M24" i="8"/>
  <c r="N24" i="8" s="1"/>
  <c r="M23" i="8"/>
  <c r="N23" i="8" s="1"/>
  <c r="M22" i="8"/>
  <c r="N22" i="8" s="1"/>
  <c r="M21" i="8"/>
  <c r="N21" i="8" s="1"/>
  <c r="M20" i="8"/>
  <c r="N20" i="8" s="1"/>
  <c r="M19" i="8"/>
  <c r="N19" i="8" s="1"/>
  <c r="M18" i="8"/>
  <c r="N18" i="8" s="1"/>
  <c r="M17" i="8"/>
  <c r="N17" i="8" s="1"/>
  <c r="M16" i="8"/>
  <c r="N16" i="8" s="1"/>
  <c r="M15" i="8"/>
  <c r="N15" i="8" s="1"/>
  <c r="M14" i="8"/>
  <c r="N14" i="8" s="1"/>
  <c r="M13" i="8"/>
  <c r="N13" i="8" s="1"/>
  <c r="M12" i="8"/>
  <c r="N12" i="8" s="1"/>
  <c r="M11" i="8"/>
  <c r="N11" i="8" s="1"/>
  <c r="M10" i="8"/>
  <c r="N10" i="8" s="1"/>
  <c r="M9" i="8"/>
  <c r="N9" i="8" s="1"/>
  <c r="M8" i="8"/>
  <c r="N8" i="8" s="1"/>
  <c r="M7" i="8"/>
  <c r="N7" i="8" s="1"/>
  <c r="M6" i="8"/>
  <c r="N6" i="8" s="1"/>
  <c r="J111" i="34"/>
  <c r="J129" i="34" s="1"/>
  <c r="G92" i="43"/>
  <c r="G110" i="43" s="1"/>
  <c r="F111" i="43"/>
  <c r="E96" i="43"/>
  <c r="E97" i="43" s="1"/>
  <c r="F96" i="43"/>
  <c r="F97" i="43" s="1"/>
  <c r="E111" i="43"/>
  <c r="H31" i="22"/>
  <c r="G91" i="43"/>
  <c r="G109" i="43" s="1"/>
  <c r="I7" i="48"/>
  <c r="K7" i="48" s="1"/>
  <c r="S54" i="83"/>
  <c r="Y54" i="83" s="1"/>
  <c r="T54" i="83"/>
  <c r="Z54" i="83" s="1"/>
  <c r="R54" i="83"/>
  <c r="X54" i="83" s="1"/>
  <c r="Q54" i="83"/>
  <c r="W54" i="83" s="1"/>
  <c r="E37" i="3"/>
  <c r="C37" i="3"/>
  <c r="D36" i="3"/>
  <c r="E16" i="35"/>
  <c r="F17" i="35"/>
  <c r="L36" i="3"/>
  <c r="K33" i="3"/>
  <c r="L34" i="3"/>
  <c r="L33" i="3"/>
  <c r="M10" i="44"/>
  <c r="O10" i="44"/>
  <c r="I6" i="48"/>
  <c r="K6" i="48" s="1"/>
  <c r="I18" i="48"/>
  <c r="K18" i="48" s="1"/>
  <c r="D16" i="35" l="1"/>
  <c r="D17" i="35" s="1"/>
  <c r="D18" i="35" s="1"/>
  <c r="D19" i="35" s="1"/>
  <c r="D20" i="35" s="1"/>
  <c r="D21" i="35" s="1"/>
  <c r="D22" i="35" s="1"/>
  <c r="D23" i="35" s="1"/>
  <c r="G96" i="43"/>
  <c r="G97" i="43" s="1"/>
  <c r="L79" i="34"/>
  <c r="L80" i="34" s="1"/>
  <c r="L99" i="34" s="1"/>
  <c r="J94" i="34"/>
  <c r="L95" i="34"/>
  <c r="I94" i="34"/>
  <c r="I130" i="34" s="1"/>
  <c r="H8" i="48"/>
  <c r="J7" i="48"/>
  <c r="C23" i="47"/>
  <c r="F16" i="63"/>
  <c r="E23" i="63" s="1"/>
  <c r="F17" i="63"/>
  <c r="E24" i="63" s="1"/>
  <c r="G5" i="51"/>
  <c r="F4" i="51"/>
  <c r="F7" i="51"/>
  <c r="P23" i="24"/>
  <c r="J24" i="24"/>
  <c r="O23" i="24"/>
  <c r="F5" i="51"/>
  <c r="I15" i="35"/>
  <c r="J15" i="35" s="1"/>
  <c r="H130" i="34"/>
  <c r="G87" i="34"/>
  <c r="G119" i="34" s="1"/>
  <c r="G120" i="34" s="1"/>
  <c r="I115" i="34"/>
  <c r="I116" i="34" s="1"/>
  <c r="G126" i="34"/>
  <c r="C10" i="11"/>
  <c r="C39" i="2" s="1"/>
  <c r="I16" i="35"/>
  <c r="J16" i="35" s="1"/>
  <c r="G112" i="34"/>
  <c r="G133" i="34"/>
  <c r="G139" i="34" s="1"/>
  <c r="P7" i="8"/>
  <c r="AA7" i="8" s="1"/>
  <c r="O7" i="8"/>
  <c r="Z7" i="8" s="1"/>
  <c r="P15" i="8"/>
  <c r="AA15" i="8" s="1"/>
  <c r="O15" i="8"/>
  <c r="Z15" i="8" s="1"/>
  <c r="P23" i="8"/>
  <c r="AA23" i="8" s="1"/>
  <c r="O23" i="8"/>
  <c r="Z23" i="8" s="1"/>
  <c r="P5" i="8"/>
  <c r="AA5" i="8" s="1"/>
  <c r="O5" i="8"/>
  <c r="Z5" i="8" s="1"/>
  <c r="M30" i="60"/>
  <c r="M4" i="60"/>
  <c r="P9" i="8"/>
  <c r="AA9" i="8" s="1"/>
  <c r="O9" i="8"/>
  <c r="Z9" i="8" s="1"/>
  <c r="P13" i="8"/>
  <c r="AA13" i="8" s="1"/>
  <c r="O13" i="8"/>
  <c r="Z13" i="8" s="1"/>
  <c r="P17" i="8"/>
  <c r="AA17" i="8" s="1"/>
  <c r="O17" i="8"/>
  <c r="Z17" i="8" s="1"/>
  <c r="P21" i="8"/>
  <c r="AA21" i="8" s="1"/>
  <c r="O21" i="8"/>
  <c r="Z21" i="8" s="1"/>
  <c r="P25" i="8"/>
  <c r="AA25" i="8" s="1"/>
  <c r="O25" i="8"/>
  <c r="Z25" i="8" s="1"/>
  <c r="P29" i="8"/>
  <c r="AA29" i="8" s="1"/>
  <c r="O29" i="8"/>
  <c r="Z29" i="8" s="1"/>
  <c r="I53" i="1"/>
  <c r="H54" i="1"/>
  <c r="H43" i="1"/>
  <c r="M56" i="83"/>
  <c r="N56" i="83"/>
  <c r="B57" i="83"/>
  <c r="K56" i="83"/>
  <c r="O56" i="83"/>
  <c r="P56" i="83"/>
  <c r="L56" i="83"/>
  <c r="M11" i="24"/>
  <c r="N11" i="24"/>
  <c r="H75" i="43"/>
  <c r="I64" i="43"/>
  <c r="H92" i="43"/>
  <c r="H110" i="43" s="1"/>
  <c r="P6" i="8"/>
  <c r="AA6" i="8" s="1"/>
  <c r="O6" i="8"/>
  <c r="Z6" i="8" s="1"/>
  <c r="P10" i="8"/>
  <c r="AA10" i="8" s="1"/>
  <c r="O10" i="8"/>
  <c r="Z10" i="8" s="1"/>
  <c r="P14" i="8"/>
  <c r="AA14" i="8" s="1"/>
  <c r="O14" i="8"/>
  <c r="Z14" i="8" s="1"/>
  <c r="P18" i="8"/>
  <c r="AA18" i="8" s="1"/>
  <c r="O18" i="8"/>
  <c r="Z18" i="8" s="1"/>
  <c r="P22" i="8"/>
  <c r="AA22" i="8" s="1"/>
  <c r="O22" i="8"/>
  <c r="Z22" i="8" s="1"/>
  <c r="P26" i="8"/>
  <c r="AA26" i="8" s="1"/>
  <c r="O26" i="8"/>
  <c r="Z26" i="8" s="1"/>
  <c r="O3" i="8"/>
  <c r="Z3" i="8" s="1"/>
  <c r="P3" i="8"/>
  <c r="AA3" i="8" s="1"/>
  <c r="D16" i="23"/>
  <c r="J81" i="43"/>
  <c r="J62" i="43"/>
  <c r="J112" i="43" s="1"/>
  <c r="L83" i="34"/>
  <c r="K94" i="34"/>
  <c r="J13" i="41"/>
  <c r="N10" i="24"/>
  <c r="M10" i="24"/>
  <c r="M8" i="51"/>
  <c r="K8" i="51"/>
  <c r="J8" i="51"/>
  <c r="N8" i="51"/>
  <c r="L8" i="51"/>
  <c r="L2" i="46"/>
  <c r="N44" i="30"/>
  <c r="N48" i="30"/>
  <c r="N21" i="46"/>
  <c r="N45" i="30"/>
  <c r="N46" i="30"/>
  <c r="N43" i="30"/>
  <c r="N47" i="30"/>
  <c r="L13" i="44"/>
  <c r="Q13" i="44"/>
  <c r="E103" i="43"/>
  <c r="E72" i="43" s="1"/>
  <c r="E69" i="43"/>
  <c r="E83" i="43" s="1"/>
  <c r="P11" i="8"/>
  <c r="AA11" i="8" s="1"/>
  <c r="O11" i="8"/>
  <c r="Z11" i="8" s="1"/>
  <c r="P19" i="8"/>
  <c r="AA19" i="8" s="1"/>
  <c r="O19" i="8"/>
  <c r="Z19" i="8" s="1"/>
  <c r="P27" i="8"/>
  <c r="AA27" i="8" s="1"/>
  <c r="O27" i="8"/>
  <c r="Z27" i="8" s="1"/>
  <c r="K110" i="34"/>
  <c r="K128" i="34" s="1"/>
  <c r="C11" i="42"/>
  <c r="D39" i="3"/>
  <c r="I39" i="3"/>
  <c r="E39" i="3"/>
  <c r="K39" i="3"/>
  <c r="H39" i="3"/>
  <c r="L39" i="3"/>
  <c r="C39" i="3"/>
  <c r="M39" i="3"/>
  <c r="G39" i="3"/>
  <c r="M12" i="24"/>
  <c r="M17" i="24" s="1"/>
  <c r="N12" i="24"/>
  <c r="N17" i="24" s="1"/>
  <c r="K17" i="24"/>
  <c r="H89" i="43"/>
  <c r="H108" i="43"/>
  <c r="I61" i="43"/>
  <c r="I80" i="43" s="1"/>
  <c r="J60" i="43"/>
  <c r="I73" i="43"/>
  <c r="I77" i="43"/>
  <c r="I17" i="35"/>
  <c r="E17" i="35"/>
  <c r="F18" i="35"/>
  <c r="J31" i="22"/>
  <c r="C18" i="22"/>
  <c r="F25" i="22"/>
  <c r="C13" i="41"/>
  <c r="G25" i="22"/>
  <c r="H25" i="22" s="1"/>
  <c r="F23" i="22" s="1"/>
  <c r="G23" i="22" s="1"/>
  <c r="H23" i="22" s="1"/>
  <c r="D13" i="41"/>
  <c r="F29" i="22"/>
  <c r="G29" i="22" s="1"/>
  <c r="H29" i="22" s="1"/>
  <c r="F28" i="22" s="1"/>
  <c r="G28" i="22" s="1"/>
  <c r="H28" i="22" s="1"/>
  <c r="F27" i="22" s="1"/>
  <c r="G27" i="22" s="1"/>
  <c r="H27" i="22" s="1"/>
  <c r="F26" i="22" s="1"/>
  <c r="G26" i="22" s="1"/>
  <c r="H26" i="22" s="1"/>
  <c r="F24" i="22" s="1"/>
  <c r="G24" i="22" s="1"/>
  <c r="H24" i="22" s="1"/>
  <c r="E13" i="41"/>
  <c r="C15" i="41"/>
  <c r="G13" i="41"/>
  <c r="F13" i="41"/>
  <c r="H13" i="41"/>
  <c r="P8" i="8"/>
  <c r="AA8" i="8" s="1"/>
  <c r="O8" i="8"/>
  <c r="Z8" i="8" s="1"/>
  <c r="P12" i="8"/>
  <c r="AA12" i="8" s="1"/>
  <c r="O12" i="8"/>
  <c r="Z12" i="8" s="1"/>
  <c r="P16" i="8"/>
  <c r="AA16" i="8" s="1"/>
  <c r="O16" i="8"/>
  <c r="Z16" i="8" s="1"/>
  <c r="P20" i="8"/>
  <c r="AA20" i="8" s="1"/>
  <c r="O20" i="8"/>
  <c r="Z20" i="8" s="1"/>
  <c r="P24" i="8"/>
  <c r="AA24" i="8" s="1"/>
  <c r="O24" i="8"/>
  <c r="Z24" i="8" s="1"/>
  <c r="P28" i="8"/>
  <c r="AA28" i="8" s="1"/>
  <c r="O28" i="8"/>
  <c r="Z28" i="8" s="1"/>
  <c r="O4" i="8"/>
  <c r="Z4" i="8" s="1"/>
  <c r="P4" i="8"/>
  <c r="AA4" i="8" s="1"/>
  <c r="D26" i="5"/>
  <c r="H25" i="5"/>
  <c r="J25" i="5" s="1"/>
  <c r="I25" i="5"/>
  <c r="K111" i="34"/>
  <c r="K129" i="34" s="1"/>
  <c r="I76" i="43"/>
  <c r="S55" i="83"/>
  <c r="Y55" i="83" s="1"/>
  <c r="R55" i="83"/>
  <c r="X55" i="83" s="1"/>
  <c r="T55" i="83"/>
  <c r="Z55" i="83" s="1"/>
  <c r="Q55" i="83"/>
  <c r="W55" i="83" s="1"/>
  <c r="M4" i="80" s="1"/>
  <c r="U55" i="83"/>
  <c r="AA55" i="83" s="1"/>
  <c r="M12" i="44"/>
  <c r="O12" i="44"/>
  <c r="M9" i="24"/>
  <c r="N9" i="24"/>
  <c r="K20" i="24"/>
  <c r="K19" i="24"/>
  <c r="K22" i="24"/>
  <c r="K21" i="24"/>
  <c r="K53" i="89"/>
  <c r="K55" i="89" s="1"/>
  <c r="J55" i="89"/>
  <c r="H96" i="43"/>
  <c r="H97" i="43" s="1"/>
  <c r="H111" i="43"/>
  <c r="I9" i="51"/>
  <c r="D9" i="51"/>
  <c r="F9" i="51"/>
  <c r="E9" i="51"/>
  <c r="C9" i="51"/>
  <c r="B10" i="51"/>
  <c r="G9" i="51"/>
  <c r="E14" i="44"/>
  <c r="N14" i="44"/>
  <c r="F15" i="44"/>
  <c r="P14" i="44"/>
  <c r="E114" i="43"/>
  <c r="J115" i="34" l="1"/>
  <c r="J116" i="34" s="1"/>
  <c r="L92" i="34"/>
  <c r="L110" i="34" s="1"/>
  <c r="L128" i="34" s="1"/>
  <c r="M79" i="34"/>
  <c r="M80" i="34" s="1"/>
  <c r="M99" i="34" s="1"/>
  <c r="L96" i="34"/>
  <c r="M95" i="34" s="1"/>
  <c r="J130" i="34"/>
  <c r="E28" i="63"/>
  <c r="L11" i="81" s="1"/>
  <c r="H11" i="81" s="1"/>
  <c r="F18" i="63"/>
  <c r="G18" i="63" s="1"/>
  <c r="H18" i="63" s="1"/>
  <c r="P24" i="24"/>
  <c r="O24" i="24"/>
  <c r="J25" i="24"/>
  <c r="K23" i="24"/>
  <c r="L23" i="24"/>
  <c r="F58" i="89"/>
  <c r="G122" i="34"/>
  <c r="G91" i="34" s="1"/>
  <c r="H82" i="34" s="1"/>
  <c r="H9" i="48"/>
  <c r="J8" i="48"/>
  <c r="G88" i="34"/>
  <c r="G102" i="34" s="1"/>
  <c r="G103" i="34" s="1"/>
  <c r="R17" i="24"/>
  <c r="D19" i="24" s="1"/>
  <c r="C53" i="2" s="1"/>
  <c r="G136" i="34"/>
  <c r="E120" i="43"/>
  <c r="E117" i="43"/>
  <c r="G10" i="51"/>
  <c r="C10" i="51"/>
  <c r="B11" i="51"/>
  <c r="I10" i="51"/>
  <c r="E10" i="51"/>
  <c r="F10" i="51"/>
  <c r="D10" i="51"/>
  <c r="N20" i="24"/>
  <c r="N22" i="24"/>
  <c r="N19" i="24"/>
  <c r="N21" i="24"/>
  <c r="N23" i="24"/>
  <c r="F12" i="41"/>
  <c r="J12" i="41"/>
  <c r="D12" i="41"/>
  <c r="I12" i="41"/>
  <c r="E12" i="41"/>
  <c r="G12" i="41"/>
  <c r="C12" i="41"/>
  <c r="H12" i="41"/>
  <c r="L127" i="34"/>
  <c r="L108" i="34"/>
  <c r="D17" i="23"/>
  <c r="M57" i="83"/>
  <c r="O57" i="83"/>
  <c r="P57" i="83"/>
  <c r="K57" i="83"/>
  <c r="L57" i="83"/>
  <c r="B58" i="83"/>
  <c r="N57" i="83"/>
  <c r="J53" i="1"/>
  <c r="I43" i="1" s="1"/>
  <c r="I54" i="1"/>
  <c r="F16" i="44"/>
  <c r="N15" i="44"/>
  <c r="E15" i="44"/>
  <c r="P15" i="44"/>
  <c r="Q14" i="44"/>
  <c r="L14" i="44"/>
  <c r="K9" i="51"/>
  <c r="M9" i="51"/>
  <c r="L9" i="51"/>
  <c r="J9" i="51"/>
  <c r="N9" i="51"/>
  <c r="M22" i="24"/>
  <c r="M20" i="24"/>
  <c r="M21" i="24"/>
  <c r="M19" i="24"/>
  <c r="M23" i="24"/>
  <c r="J76" i="43"/>
  <c r="I18" i="35"/>
  <c r="J18" i="35" s="1"/>
  <c r="E18" i="35"/>
  <c r="F19" i="35"/>
  <c r="J61" i="43"/>
  <c r="J80" i="43" s="1"/>
  <c r="J73" i="43"/>
  <c r="J91" i="43" s="1"/>
  <c r="J109" i="43" s="1"/>
  <c r="K60" i="43"/>
  <c r="J77" i="43"/>
  <c r="E84" i="43"/>
  <c r="O43" i="30"/>
  <c r="O47" i="30"/>
  <c r="O44" i="30"/>
  <c r="O48" i="30"/>
  <c r="O21" i="46"/>
  <c r="O45" i="30"/>
  <c r="O46" i="30"/>
  <c r="M92" i="34"/>
  <c r="M110" i="34" s="1"/>
  <c r="M128" i="34" s="1"/>
  <c r="I26" i="5"/>
  <c r="D27" i="5"/>
  <c r="H26" i="5"/>
  <c r="J26" i="5" s="1"/>
  <c r="G97" i="34"/>
  <c r="F63" i="43"/>
  <c r="E78" i="43"/>
  <c r="M2" i="46"/>
  <c r="K81" i="43"/>
  <c r="K62" i="43"/>
  <c r="K112" i="43" s="1"/>
  <c r="I89" i="43"/>
  <c r="I108" i="43"/>
  <c r="J17" i="35"/>
  <c r="I75" i="43"/>
  <c r="I111" i="43" s="1"/>
  <c r="J64" i="43"/>
  <c r="I92" i="43"/>
  <c r="I110" i="43" s="1"/>
  <c r="C40" i="3"/>
  <c r="H40" i="3"/>
  <c r="M40" i="3"/>
  <c r="D40" i="3"/>
  <c r="I40" i="3"/>
  <c r="K40" i="3"/>
  <c r="L40" i="3"/>
  <c r="G40" i="3"/>
  <c r="E40" i="3"/>
  <c r="M13" i="44"/>
  <c r="O13" i="44"/>
  <c r="I91" i="43"/>
  <c r="I109" i="43" s="1"/>
  <c r="K115" i="34"/>
  <c r="K116" i="34" s="1"/>
  <c r="K130" i="34"/>
  <c r="Q56" i="83"/>
  <c r="W56" i="83" s="1"/>
  <c r="R56" i="83"/>
  <c r="X56" i="83" s="1"/>
  <c r="T56" i="83"/>
  <c r="Z56" i="83" s="1"/>
  <c r="S56" i="83"/>
  <c r="Y56" i="83" s="1"/>
  <c r="U56" i="83"/>
  <c r="AA56" i="83" s="1"/>
  <c r="L111" i="34"/>
  <c r="L129" i="34" s="1"/>
  <c r="L94" i="34" l="1"/>
  <c r="L130" i="34" s="1"/>
  <c r="M83" i="34"/>
  <c r="M96" i="34"/>
  <c r="M94" i="34" s="1"/>
  <c r="C19" i="63"/>
  <c r="E26" i="63" s="1"/>
  <c r="E29" i="63"/>
  <c r="D63" i="60" s="1"/>
  <c r="L62" i="60"/>
  <c r="M24" i="24"/>
  <c r="K24" i="24"/>
  <c r="N24" i="24"/>
  <c r="L24" i="24"/>
  <c r="H10" i="48"/>
  <c r="J9" i="48"/>
  <c r="I96" i="43"/>
  <c r="I97" i="43" s="1"/>
  <c r="N2" i="46"/>
  <c r="O25" i="24"/>
  <c r="J26" i="24"/>
  <c r="P25" i="24"/>
  <c r="R20" i="24"/>
  <c r="R19" i="24"/>
  <c r="R22" i="24"/>
  <c r="R21" i="24"/>
  <c r="R23" i="24"/>
  <c r="L115" i="34"/>
  <c r="L116" i="34" s="1"/>
  <c r="L60" i="43"/>
  <c r="K61" i="43"/>
  <c r="K80" i="43" s="1"/>
  <c r="K73" i="43"/>
  <c r="K91" i="43" s="1"/>
  <c r="K109" i="43" s="1"/>
  <c r="K77" i="43"/>
  <c r="I11" i="51"/>
  <c r="F11" i="51"/>
  <c r="D11" i="51"/>
  <c r="B12" i="51"/>
  <c r="C11" i="51"/>
  <c r="G11" i="51"/>
  <c r="E11" i="51"/>
  <c r="M127" i="34"/>
  <c r="M108" i="34"/>
  <c r="H132" i="34"/>
  <c r="H84" i="34"/>
  <c r="M111" i="34"/>
  <c r="M129" i="34" s="1"/>
  <c r="O14" i="44"/>
  <c r="M14" i="44"/>
  <c r="J54" i="1"/>
  <c r="K53" i="1"/>
  <c r="J43" i="1" s="1"/>
  <c r="L58" i="83"/>
  <c r="P58" i="83"/>
  <c r="B59" i="83"/>
  <c r="M58" i="83"/>
  <c r="N58" i="83"/>
  <c r="O58" i="83"/>
  <c r="K58" i="83"/>
  <c r="D18" i="23"/>
  <c r="F113" i="43"/>
  <c r="F65" i="43"/>
  <c r="H27" i="5"/>
  <c r="J27" i="5" s="1"/>
  <c r="I27" i="5"/>
  <c r="D28" i="5"/>
  <c r="P21" i="46"/>
  <c r="P46" i="30"/>
  <c r="P43" i="30"/>
  <c r="P47" i="30"/>
  <c r="O12" i="46"/>
  <c r="P44" i="30"/>
  <c r="P48" i="30"/>
  <c r="P45" i="30"/>
  <c r="Q15" i="44"/>
  <c r="L15" i="44"/>
  <c r="M4" i="81"/>
  <c r="J89" i="43"/>
  <c r="J108" i="43"/>
  <c r="L81" i="43"/>
  <c r="L62" i="43"/>
  <c r="L112" i="43" s="1"/>
  <c r="J75" i="43"/>
  <c r="J96" i="43" s="1"/>
  <c r="J97" i="43" s="1"/>
  <c r="K64" i="43"/>
  <c r="J92" i="43"/>
  <c r="J110" i="43" s="1"/>
  <c r="I19" i="35"/>
  <c r="E19" i="35"/>
  <c r="F20" i="35"/>
  <c r="K76" i="43"/>
  <c r="L76" i="43" s="1"/>
  <c r="F17" i="44"/>
  <c r="E16" i="44"/>
  <c r="N16" i="44"/>
  <c r="P16" i="44"/>
  <c r="R57" i="83"/>
  <c r="X57" i="83" s="1"/>
  <c r="Q57" i="83"/>
  <c r="W57" i="83" s="1"/>
  <c r="S57" i="83"/>
  <c r="Y57" i="83" s="1"/>
  <c r="T57" i="83"/>
  <c r="Z57" i="83" s="1"/>
  <c r="U57" i="83"/>
  <c r="AA57" i="83" s="1"/>
  <c r="M10" i="51"/>
  <c r="K10" i="51"/>
  <c r="N10" i="51"/>
  <c r="L10" i="51"/>
  <c r="J10" i="51"/>
  <c r="M130" i="34" l="1"/>
  <c r="M115" i="34"/>
  <c r="M116" i="34" s="1"/>
  <c r="R24" i="24"/>
  <c r="M25" i="24"/>
  <c r="N25" i="24"/>
  <c r="L25" i="24"/>
  <c r="K25" i="24"/>
  <c r="O26" i="24"/>
  <c r="J27" i="24"/>
  <c r="P26" i="24"/>
  <c r="J10" i="48"/>
  <c r="H11" i="48"/>
  <c r="S58" i="83"/>
  <c r="Y58" i="83" s="1"/>
  <c r="R58" i="83"/>
  <c r="X58" i="83" s="1"/>
  <c r="Q58" i="83"/>
  <c r="W58" i="83" s="1"/>
  <c r="T58" i="83"/>
  <c r="Z58" i="83" s="1"/>
  <c r="U58" i="83"/>
  <c r="AA58" i="83" s="1"/>
  <c r="L59" i="83"/>
  <c r="P59" i="83"/>
  <c r="M59" i="83"/>
  <c r="N59" i="83"/>
  <c r="K59" i="83"/>
  <c r="O59" i="83"/>
  <c r="K54" i="1"/>
  <c r="L53" i="1"/>
  <c r="K43" i="1" s="1"/>
  <c r="K11" i="51"/>
  <c r="M11" i="51"/>
  <c r="N11" i="51"/>
  <c r="L11" i="51"/>
  <c r="J11" i="51"/>
  <c r="H85" i="34"/>
  <c r="H86" i="34" s="1"/>
  <c r="B13" i="51"/>
  <c r="E12" i="51"/>
  <c r="I12" i="51"/>
  <c r="G12" i="51"/>
  <c r="C12" i="51"/>
  <c r="F12" i="51"/>
  <c r="D12" i="51"/>
  <c r="E17" i="44"/>
  <c r="N17" i="44"/>
  <c r="F18" i="44"/>
  <c r="P17" i="44"/>
  <c r="K89" i="43"/>
  <c r="K108" i="43"/>
  <c r="Q16" i="44"/>
  <c r="L16" i="44"/>
  <c r="I20" i="35"/>
  <c r="J20" i="35" s="1"/>
  <c r="E20" i="35"/>
  <c r="F21" i="35"/>
  <c r="J19" i="35"/>
  <c r="F66" i="43"/>
  <c r="F67" i="43" s="1"/>
  <c r="K92" i="43"/>
  <c r="K110" i="43" s="1"/>
  <c r="J111" i="43"/>
  <c r="M15" i="44"/>
  <c r="O15" i="44"/>
  <c r="O2" i="46"/>
  <c r="H28" i="5"/>
  <c r="J28" i="5" s="1"/>
  <c r="I28" i="5"/>
  <c r="D29" i="5"/>
  <c r="M4" i="91"/>
  <c r="M81" i="43"/>
  <c r="M62" i="43"/>
  <c r="M112" i="43" s="1"/>
  <c r="Q13" i="46"/>
  <c r="R13" i="46"/>
  <c r="O13" i="46"/>
  <c r="P13" i="46"/>
  <c r="S13" i="46"/>
  <c r="Q21" i="46"/>
  <c r="Q45" i="30"/>
  <c r="Q46" i="30"/>
  <c r="Q43" i="30"/>
  <c r="Q47" i="30"/>
  <c r="Q44" i="30"/>
  <c r="Q48" i="30"/>
  <c r="D19" i="23"/>
  <c r="L64" i="43"/>
  <c r="K75" i="43"/>
  <c r="K96" i="43" s="1"/>
  <c r="K97" i="43" s="1"/>
  <c r="M60" i="43"/>
  <c r="L61" i="43"/>
  <c r="L80" i="43" s="1"/>
  <c r="L77" i="43"/>
  <c r="M76" i="43" s="1"/>
  <c r="L73" i="43"/>
  <c r="L91" i="43" s="1"/>
  <c r="L109" i="43" s="1"/>
  <c r="M26" i="24" l="1"/>
  <c r="N26" i="24"/>
  <c r="L26" i="24"/>
  <c r="K26" i="24"/>
  <c r="R25" i="24"/>
  <c r="J28" i="24"/>
  <c r="O27" i="24"/>
  <c r="P27" i="24"/>
  <c r="H12" i="48"/>
  <c r="J11" i="48"/>
  <c r="C27" i="47"/>
  <c r="R5" i="48"/>
  <c r="F88" i="43"/>
  <c r="F93" i="43" s="1"/>
  <c r="F107" i="43"/>
  <c r="F114" i="43" s="1"/>
  <c r="F68" i="43"/>
  <c r="F100" i="43" s="1"/>
  <c r="F101" i="43" s="1"/>
  <c r="H87" i="34"/>
  <c r="H119" i="34" s="1"/>
  <c r="H120" i="34" s="1"/>
  <c r="H107" i="34"/>
  <c r="H112" i="34" s="1"/>
  <c r="H126" i="34"/>
  <c r="H133" i="34" s="1"/>
  <c r="M16" i="44"/>
  <c r="O16" i="44"/>
  <c r="E18" i="44"/>
  <c r="F19" i="44"/>
  <c r="N18" i="44"/>
  <c r="P18" i="44"/>
  <c r="S16" i="46"/>
  <c r="O16" i="46"/>
  <c r="J14" i="46"/>
  <c r="J15" i="46" s="1"/>
  <c r="M61" i="43"/>
  <c r="M80" i="43" s="1"/>
  <c r="M73" i="43"/>
  <c r="M77" i="43"/>
  <c r="M75" i="43" s="1"/>
  <c r="R16" i="46"/>
  <c r="K14" i="46"/>
  <c r="K15" i="46" s="1"/>
  <c r="L14" i="46"/>
  <c r="L15" i="46" s="1"/>
  <c r="M14" i="46"/>
  <c r="M15" i="46" s="1"/>
  <c r="N14" i="46"/>
  <c r="N15" i="46" s="1"/>
  <c r="K111" i="43"/>
  <c r="Q17" i="44"/>
  <c r="L17" i="44"/>
  <c r="I13" i="51"/>
  <c r="D13" i="51"/>
  <c r="F13" i="51"/>
  <c r="B14" i="51"/>
  <c r="G13" i="51"/>
  <c r="E13" i="51"/>
  <c r="C13" i="51"/>
  <c r="N4" i="88"/>
  <c r="L89" i="43"/>
  <c r="L108" i="43"/>
  <c r="M91" i="43"/>
  <c r="M109" i="43" s="1"/>
  <c r="R44" i="30"/>
  <c r="R48" i="30"/>
  <c r="R21" i="46"/>
  <c r="R45" i="30"/>
  <c r="R46" i="30"/>
  <c r="R43" i="30"/>
  <c r="R47" i="30"/>
  <c r="P16" i="46"/>
  <c r="Q16" i="46"/>
  <c r="H29" i="5"/>
  <c r="J29" i="5" s="1"/>
  <c r="I29" i="5"/>
  <c r="D30" i="5"/>
  <c r="I21" i="35"/>
  <c r="J21" i="35" s="1"/>
  <c r="E21" i="35"/>
  <c r="F22" i="35"/>
  <c r="M53" i="1"/>
  <c r="L43" i="1"/>
  <c r="L54" i="1"/>
  <c r="R59" i="83"/>
  <c r="X59" i="83" s="1"/>
  <c r="S59" i="83"/>
  <c r="Y59" i="83" s="1"/>
  <c r="Q59" i="83"/>
  <c r="W59" i="83" s="1"/>
  <c r="T59" i="83"/>
  <c r="Z59" i="83" s="1"/>
  <c r="U59" i="83"/>
  <c r="AA59" i="83" s="1"/>
  <c r="L92" i="43"/>
  <c r="L110" i="43" s="1"/>
  <c r="L75" i="43"/>
  <c r="M64" i="43"/>
  <c r="D20" i="23"/>
  <c r="P2" i="46"/>
  <c r="M12" i="51"/>
  <c r="K12" i="51"/>
  <c r="J12" i="51"/>
  <c r="N12" i="51"/>
  <c r="L12" i="51"/>
  <c r="N27" i="24" l="1"/>
  <c r="K27" i="24"/>
  <c r="M27" i="24"/>
  <c r="L27" i="24"/>
  <c r="R26" i="24"/>
  <c r="J29" i="24"/>
  <c r="O28" i="24"/>
  <c r="P28" i="24"/>
  <c r="F103" i="43"/>
  <c r="F72" i="43" s="1"/>
  <c r="J12" i="48"/>
  <c r="H13" i="48"/>
  <c r="B79" i="83"/>
  <c r="B89" i="83"/>
  <c r="D21" i="23"/>
  <c r="M89" i="43"/>
  <c r="M108" i="43"/>
  <c r="K13" i="51"/>
  <c r="M13" i="51"/>
  <c r="L13" i="51"/>
  <c r="J13" i="51"/>
  <c r="N13" i="51"/>
  <c r="L17" i="46"/>
  <c r="L19" i="46" s="1"/>
  <c r="L20" i="46" s="1"/>
  <c r="J17" i="46"/>
  <c r="J19" i="46" s="1"/>
  <c r="J20" i="46" s="1"/>
  <c r="H139" i="34"/>
  <c r="H136" i="34"/>
  <c r="H30" i="5"/>
  <c r="J30" i="5" s="1"/>
  <c r="I30" i="5"/>
  <c r="D31" i="5"/>
  <c r="M111" i="43"/>
  <c r="M96" i="43"/>
  <c r="M97" i="43" s="1"/>
  <c r="I22" i="35"/>
  <c r="J22" i="35" s="1"/>
  <c r="F23" i="35"/>
  <c r="E22" i="35"/>
  <c r="Q2" i="46"/>
  <c r="M92" i="43"/>
  <c r="M110" i="43" s="1"/>
  <c r="L111" i="43"/>
  <c r="M4" i="82"/>
  <c r="B93" i="83"/>
  <c r="B67" i="83"/>
  <c r="B83" i="83"/>
  <c r="L96" i="43"/>
  <c r="L97" i="43" s="1"/>
  <c r="M43" i="1"/>
  <c r="N53" i="1"/>
  <c r="M54" i="1"/>
  <c r="G14" i="51"/>
  <c r="C14" i="51"/>
  <c r="B15" i="51"/>
  <c r="I14" i="51"/>
  <c r="E14" i="51"/>
  <c r="D14" i="51"/>
  <c r="F14" i="51"/>
  <c r="M17" i="44"/>
  <c r="O17" i="44"/>
  <c r="K17" i="46"/>
  <c r="K19" i="46" s="1"/>
  <c r="K20" i="46" s="1"/>
  <c r="Q18" i="44"/>
  <c r="L18" i="44"/>
  <c r="H88" i="34"/>
  <c r="H102" i="34" s="1"/>
  <c r="F69" i="43"/>
  <c r="F83" i="43" s="1"/>
  <c r="B95" i="83"/>
  <c r="B90" i="83"/>
  <c r="B73" i="83"/>
  <c r="B68" i="83"/>
  <c r="B98" i="83"/>
  <c r="B87" i="83"/>
  <c r="B88" i="83"/>
  <c r="B80" i="83"/>
  <c r="B69" i="83"/>
  <c r="B92" i="83"/>
  <c r="B72" i="83"/>
  <c r="B75" i="83"/>
  <c r="B76" i="83"/>
  <c r="B84" i="83"/>
  <c r="B81" i="83"/>
  <c r="B78" i="83"/>
  <c r="B97" i="83"/>
  <c r="B86" i="83"/>
  <c r="B74" i="83"/>
  <c r="B71" i="83"/>
  <c r="B70" i="83"/>
  <c r="B82" i="83"/>
  <c r="B96" i="83"/>
  <c r="B85" i="83"/>
  <c r="B91" i="83"/>
  <c r="S43" i="30"/>
  <c r="S47" i="30"/>
  <c r="S44" i="30"/>
  <c r="S48" i="30"/>
  <c r="S21" i="46"/>
  <c r="S45" i="30"/>
  <c r="S46" i="30"/>
  <c r="B77" i="83"/>
  <c r="N17" i="46"/>
  <c r="N19" i="46" s="1"/>
  <c r="N20" i="46" s="1"/>
  <c r="E19" i="44"/>
  <c r="P19" i="44"/>
  <c r="N19" i="44"/>
  <c r="H122" i="34"/>
  <c r="H91" i="34" s="1"/>
  <c r="F117" i="43"/>
  <c r="F120" i="43"/>
  <c r="M17" i="46"/>
  <c r="M19" i="46" s="1"/>
  <c r="M20" i="46" s="1"/>
  <c r="B94" i="83"/>
  <c r="G63" i="43"/>
  <c r="F78" i="43"/>
  <c r="R27" i="24" l="1"/>
  <c r="L28" i="24"/>
  <c r="K28" i="24"/>
  <c r="N28" i="24"/>
  <c r="M28" i="24"/>
  <c r="H14" i="48"/>
  <c r="J13" i="48"/>
  <c r="O29" i="24"/>
  <c r="P29" i="24"/>
  <c r="J30" i="24"/>
  <c r="I15" i="51"/>
  <c r="F15" i="51"/>
  <c r="D15" i="51"/>
  <c r="G15" i="51"/>
  <c r="E15" i="51"/>
  <c r="B16" i="51"/>
  <c r="C15" i="51"/>
  <c r="I82" i="34"/>
  <c r="H97" i="34"/>
  <c r="T21" i="46"/>
  <c r="T46" i="30"/>
  <c r="T43" i="30"/>
  <c r="T47" i="30"/>
  <c r="T44" i="30"/>
  <c r="T48" i="30"/>
  <c r="T45" i="30"/>
  <c r="F84" i="43"/>
  <c r="N54" i="1"/>
  <c r="O53" i="1"/>
  <c r="N43" i="1" s="1"/>
  <c r="I23" i="35"/>
  <c r="E23" i="35"/>
  <c r="R2" i="46"/>
  <c r="H103" i="34"/>
  <c r="H31" i="5"/>
  <c r="J31" i="5" s="1"/>
  <c r="I31" i="5"/>
  <c r="D32" i="5"/>
  <c r="D22" i="23"/>
  <c r="G113" i="43"/>
  <c r="G65" i="43"/>
  <c r="L19" i="44"/>
  <c r="Q19" i="44"/>
  <c r="M18" i="44"/>
  <c r="O18" i="44"/>
  <c r="M14" i="51"/>
  <c r="K14" i="51"/>
  <c r="N14" i="51"/>
  <c r="L14" i="51"/>
  <c r="J14" i="51"/>
  <c r="M29" i="24" l="1"/>
  <c r="L29" i="24"/>
  <c r="N29" i="24"/>
  <c r="K29" i="24"/>
  <c r="S2" i="46"/>
  <c r="P30" i="24"/>
  <c r="O30" i="24"/>
  <c r="J31" i="24"/>
  <c r="H15" i="48"/>
  <c r="J14" i="48"/>
  <c r="R28" i="24"/>
  <c r="G66" i="43"/>
  <c r="G67" i="43" s="1"/>
  <c r="J23" i="35"/>
  <c r="B5" i="35"/>
  <c r="B5" i="44"/>
  <c r="R19" i="44" s="1"/>
  <c r="H32" i="5"/>
  <c r="J32" i="5" s="1"/>
  <c r="I32" i="5"/>
  <c r="D33" i="5"/>
  <c r="T12" i="46"/>
  <c r="U21" i="46"/>
  <c r="U45" i="30"/>
  <c r="U46" i="30"/>
  <c r="U43" i="30"/>
  <c r="U47" i="30"/>
  <c r="U44" i="30"/>
  <c r="U48" i="30"/>
  <c r="I132" i="34"/>
  <c r="I84" i="34"/>
  <c r="O19" i="44"/>
  <c r="M19" i="44"/>
  <c r="O43" i="1"/>
  <c r="O54" i="1"/>
  <c r="P53" i="1"/>
  <c r="B17" i="51"/>
  <c r="E16" i="51"/>
  <c r="I16" i="51"/>
  <c r="G16" i="51"/>
  <c r="C16" i="51"/>
  <c r="F16" i="51"/>
  <c r="D16" i="51"/>
  <c r="D23" i="23"/>
  <c r="K15" i="51"/>
  <c r="M15" i="51"/>
  <c r="N15" i="51"/>
  <c r="L15" i="51"/>
  <c r="J15" i="51"/>
  <c r="J32" i="24" l="1"/>
  <c r="P31" i="24"/>
  <c r="O31" i="24"/>
  <c r="N30" i="24"/>
  <c r="K30" i="24"/>
  <c r="L30" i="24"/>
  <c r="M30" i="24"/>
  <c r="R29" i="24"/>
  <c r="H16" i="48"/>
  <c r="J15" i="48"/>
  <c r="R6" i="48"/>
  <c r="C31" i="47"/>
  <c r="G107" i="43"/>
  <c r="G114" i="43" s="1"/>
  <c r="G88" i="43"/>
  <c r="G93" i="43" s="1"/>
  <c r="G68" i="43"/>
  <c r="G100" i="43" s="1"/>
  <c r="G101" i="43" s="1"/>
  <c r="M16" i="51"/>
  <c r="K16" i="51"/>
  <c r="J16" i="51"/>
  <c r="N16" i="51"/>
  <c r="L16" i="51"/>
  <c r="T2" i="46"/>
  <c r="V44" i="30"/>
  <c r="V48" i="30"/>
  <c r="V21" i="46"/>
  <c r="V45" i="30"/>
  <c r="V46" i="30"/>
  <c r="V47" i="30"/>
  <c r="V43" i="30"/>
  <c r="B7" i="35"/>
  <c r="N12" i="35"/>
  <c r="M13" i="35"/>
  <c r="N13" i="35"/>
  <c r="L13" i="35"/>
  <c r="M14" i="35"/>
  <c r="M12" i="35"/>
  <c r="K14" i="35"/>
  <c r="N14" i="35"/>
  <c r="L14" i="35"/>
  <c r="K13" i="35"/>
  <c r="K15" i="35"/>
  <c r="L15" i="35"/>
  <c r="N15" i="35"/>
  <c r="M15" i="35"/>
  <c r="M16" i="35"/>
  <c r="N16" i="35"/>
  <c r="K16" i="35"/>
  <c r="L16" i="35"/>
  <c r="L17" i="35"/>
  <c r="K17" i="35"/>
  <c r="M17" i="35"/>
  <c r="N17" i="35"/>
  <c r="M18" i="35"/>
  <c r="K18" i="35"/>
  <c r="N18" i="35"/>
  <c r="L18" i="35"/>
  <c r="L19" i="35"/>
  <c r="K19" i="35"/>
  <c r="M19" i="35"/>
  <c r="N19" i="35"/>
  <c r="M20" i="35"/>
  <c r="K20" i="35"/>
  <c r="N20" i="35"/>
  <c r="L20" i="35"/>
  <c r="L21" i="35"/>
  <c r="N21" i="35"/>
  <c r="M21" i="35"/>
  <c r="K21" i="35"/>
  <c r="N22" i="35"/>
  <c r="K22" i="35"/>
  <c r="M22" i="35"/>
  <c r="L22" i="35"/>
  <c r="K23" i="35"/>
  <c r="L23" i="35"/>
  <c r="M23" i="35"/>
  <c r="N23" i="35"/>
  <c r="I17" i="51"/>
  <c r="D17" i="51"/>
  <c r="F17" i="51"/>
  <c r="E17" i="51"/>
  <c r="C17" i="51"/>
  <c r="B18" i="51"/>
  <c r="G17" i="51"/>
  <c r="T13" i="46"/>
  <c r="V13" i="46"/>
  <c r="U13" i="46"/>
  <c r="D24" i="23"/>
  <c r="Q53" i="1"/>
  <c r="P43" i="1" s="1"/>
  <c r="P54" i="1"/>
  <c r="R10" i="44"/>
  <c r="R8" i="44"/>
  <c r="S8" i="44" s="1"/>
  <c r="R11" i="44"/>
  <c r="R9" i="44"/>
  <c r="R12" i="44"/>
  <c r="R13" i="44"/>
  <c r="R14" i="44"/>
  <c r="R15" i="44"/>
  <c r="R16" i="44"/>
  <c r="R17" i="44"/>
  <c r="R18" i="44"/>
  <c r="I85" i="34"/>
  <c r="I86" i="34" s="1"/>
  <c r="H33" i="5"/>
  <c r="J33" i="5" s="1"/>
  <c r="I33" i="5"/>
  <c r="D34" i="5"/>
  <c r="R30" i="24" l="1"/>
  <c r="G103" i="43"/>
  <c r="G72" i="43" s="1"/>
  <c r="H63" i="43" s="1"/>
  <c r="N31" i="24"/>
  <c r="K31" i="24"/>
  <c r="L31" i="24"/>
  <c r="M31" i="24"/>
  <c r="G69" i="43"/>
  <c r="G83" i="43" s="1"/>
  <c r="H17" i="48"/>
  <c r="J16" i="48"/>
  <c r="O32" i="24"/>
  <c r="P32" i="24"/>
  <c r="J33" i="24"/>
  <c r="K17" i="51"/>
  <c r="M17" i="51"/>
  <c r="L17" i="51"/>
  <c r="J17" i="51"/>
  <c r="N17" i="51"/>
  <c r="T8" i="44"/>
  <c r="R53" i="1"/>
  <c r="Q43" i="1" s="1"/>
  <c r="Q54" i="1"/>
  <c r="U16" i="46"/>
  <c r="G78" i="43"/>
  <c r="H34" i="5"/>
  <c r="J34" i="5" s="1"/>
  <c r="I34" i="5"/>
  <c r="D35" i="5"/>
  <c r="I87" i="34"/>
  <c r="I119" i="34" s="1"/>
  <c r="I120" i="34" s="1"/>
  <c r="I107" i="34"/>
  <c r="I112" i="34" s="1"/>
  <c r="I126" i="34"/>
  <c r="I133" i="34" s="1"/>
  <c r="D25" i="23"/>
  <c r="V16" i="46"/>
  <c r="S9" i="44"/>
  <c r="T9" i="44" s="1"/>
  <c r="T16" i="46"/>
  <c r="P14" i="46"/>
  <c r="P15" i="46" s="1"/>
  <c r="O14" i="46"/>
  <c r="O15" i="46" s="1"/>
  <c r="Q14" i="46"/>
  <c r="Q15" i="46" s="1"/>
  <c r="R14" i="46"/>
  <c r="R15" i="46" s="1"/>
  <c r="S14" i="46"/>
  <c r="S15" i="46" s="1"/>
  <c r="T14" i="46"/>
  <c r="T15" i="46" s="1"/>
  <c r="T17" i="46" s="1"/>
  <c r="G18" i="51"/>
  <c r="C18" i="51"/>
  <c r="B19" i="51"/>
  <c r="I18" i="51"/>
  <c r="E18" i="51"/>
  <c r="F18" i="51"/>
  <c r="D18" i="51"/>
  <c r="U14" i="46"/>
  <c r="U15" i="46" s="1"/>
  <c r="U17" i="46" s="1"/>
  <c r="G117" i="43"/>
  <c r="G120" i="43"/>
  <c r="U2" i="46"/>
  <c r="V14" i="46"/>
  <c r="V15" i="46" s="1"/>
  <c r="V17" i="46" s="1"/>
  <c r="W43" i="30"/>
  <c r="W47" i="30"/>
  <c r="W44" i="30"/>
  <c r="W48" i="30"/>
  <c r="W45" i="30"/>
  <c r="W46" i="30"/>
  <c r="G84" i="43"/>
  <c r="R31" i="24" l="1"/>
  <c r="J34" i="24"/>
  <c r="O33" i="24"/>
  <c r="P33" i="24"/>
  <c r="H18" i="48"/>
  <c r="J17" i="48"/>
  <c r="V2" i="46"/>
  <c r="M32" i="24"/>
  <c r="N32" i="24"/>
  <c r="K32" i="24"/>
  <c r="L32" i="24"/>
  <c r="I122" i="34"/>
  <c r="I91" i="34" s="1"/>
  <c r="I97" i="34" s="1"/>
  <c r="I88" i="34"/>
  <c r="I102" i="34" s="1"/>
  <c r="I103" i="34" s="1"/>
  <c r="T19" i="46"/>
  <c r="T20" i="46" s="1"/>
  <c r="V19" i="46"/>
  <c r="V20" i="46" s="1"/>
  <c r="Q17" i="46"/>
  <c r="Q19" i="46" s="1"/>
  <c r="Q20" i="46" s="1"/>
  <c r="H113" i="43"/>
  <c r="H65" i="43"/>
  <c r="U8" i="44"/>
  <c r="V8" i="44"/>
  <c r="W8" i="44"/>
  <c r="R17" i="46"/>
  <c r="R19" i="46" s="1"/>
  <c r="R20" i="46" s="1"/>
  <c r="M18" i="51"/>
  <c r="K18" i="51"/>
  <c r="N18" i="51"/>
  <c r="L18" i="51"/>
  <c r="J18" i="51"/>
  <c r="O17" i="46"/>
  <c r="O19" i="46" s="1"/>
  <c r="O20" i="46" s="1"/>
  <c r="D26" i="23"/>
  <c r="I136" i="34"/>
  <c r="I139" i="34"/>
  <c r="S10" i="44"/>
  <c r="U19" i="46"/>
  <c r="U20" i="46" s="1"/>
  <c r="I19" i="51"/>
  <c r="F19" i="51"/>
  <c r="D19" i="51"/>
  <c r="B20" i="51"/>
  <c r="C19" i="51"/>
  <c r="G19" i="51"/>
  <c r="E19" i="51"/>
  <c r="S17" i="46"/>
  <c r="S19" i="46" s="1"/>
  <c r="S20" i="46" s="1"/>
  <c r="P17" i="46"/>
  <c r="P19" i="46" s="1"/>
  <c r="P20" i="46" s="1"/>
  <c r="H35" i="5"/>
  <c r="J35" i="5" s="1"/>
  <c r="I35" i="5"/>
  <c r="D36" i="5"/>
  <c r="R54" i="1"/>
  <c r="S53" i="1"/>
  <c r="R43" i="1"/>
  <c r="V9" i="44"/>
  <c r="W9" i="44"/>
  <c r="U9" i="44"/>
  <c r="K33" i="24" l="1"/>
  <c r="M33" i="24"/>
  <c r="N33" i="24"/>
  <c r="L33" i="24"/>
  <c r="R32" i="24"/>
  <c r="J35" i="24"/>
  <c r="O34" i="24"/>
  <c r="P34" i="24"/>
  <c r="L18" i="48"/>
  <c r="J18" i="48"/>
  <c r="H19" i="48"/>
  <c r="J82" i="34"/>
  <c r="J84" i="34" s="1"/>
  <c r="B21" i="51"/>
  <c r="E20" i="51"/>
  <c r="I20" i="51"/>
  <c r="G20" i="51"/>
  <c r="C20" i="51"/>
  <c r="F20" i="51"/>
  <c r="D20" i="51"/>
  <c r="T10" i="44"/>
  <c r="S11" i="44"/>
  <c r="S12" i="44" s="1"/>
  <c r="S13" i="44" s="1"/>
  <c r="S14" i="44" s="1"/>
  <c r="S15" i="44" s="1"/>
  <c r="S16" i="44" s="1"/>
  <c r="S17" i="44" s="1"/>
  <c r="S18" i="44" s="1"/>
  <c r="S19" i="44" s="1"/>
  <c r="T16" i="44" s="1"/>
  <c r="D27" i="23"/>
  <c r="H36" i="5"/>
  <c r="J36" i="5" s="1"/>
  <c r="I36" i="5"/>
  <c r="D37" i="5"/>
  <c r="K19" i="51"/>
  <c r="M19" i="51"/>
  <c r="N19" i="51"/>
  <c r="L19" i="51"/>
  <c r="J19" i="51"/>
  <c r="H66" i="43"/>
  <c r="H67" i="43" s="1"/>
  <c r="E5" i="46" a="1"/>
  <c r="E5" i="46" s="1"/>
  <c r="R33" i="24" l="1"/>
  <c r="J132" i="34"/>
  <c r="N34" i="24"/>
  <c r="K34" i="24"/>
  <c r="L34" i="24"/>
  <c r="M34" i="24"/>
  <c r="L19" i="48"/>
  <c r="H20" i="48"/>
  <c r="O9" i="48"/>
  <c r="R7" i="48" s="1"/>
  <c r="P35" i="24"/>
  <c r="J36" i="24"/>
  <c r="O35" i="24"/>
  <c r="T11" i="44"/>
  <c r="T15" i="44"/>
  <c r="T19" i="44"/>
  <c r="V19" i="44" s="1"/>
  <c r="U16" i="44"/>
  <c r="V16" i="44"/>
  <c r="W16" i="44"/>
  <c r="H88" i="43"/>
  <c r="H93" i="43" s="1"/>
  <c r="H107" i="43"/>
  <c r="H114" i="43" s="1"/>
  <c r="H68" i="43"/>
  <c r="H100" i="43" s="1"/>
  <c r="H101" i="43" s="1"/>
  <c r="T14" i="44"/>
  <c r="T12" i="44"/>
  <c r="I21" i="51"/>
  <c r="D21" i="51"/>
  <c r="F21" i="51"/>
  <c r="B22" i="51"/>
  <c r="G21" i="51"/>
  <c r="E21" i="51"/>
  <c r="C21" i="51"/>
  <c r="D28" i="23"/>
  <c r="U11" i="44"/>
  <c r="W11" i="44"/>
  <c r="V11" i="44"/>
  <c r="W19" i="44"/>
  <c r="U19" i="44"/>
  <c r="H37" i="5"/>
  <c r="J37" i="5" s="1"/>
  <c r="I37" i="5"/>
  <c r="D38" i="5"/>
  <c r="U15" i="44"/>
  <c r="V15" i="44"/>
  <c r="W15" i="44"/>
  <c r="T17" i="44"/>
  <c r="M20" i="51"/>
  <c r="K20" i="51"/>
  <c r="J20" i="51"/>
  <c r="N20" i="51"/>
  <c r="L20" i="51"/>
  <c r="T18" i="44"/>
  <c r="T13" i="44"/>
  <c r="J85" i="34"/>
  <c r="J86" i="34" s="1"/>
  <c r="U10" i="44"/>
  <c r="V10" i="44"/>
  <c r="W10" i="44"/>
  <c r="M35" i="24" l="1"/>
  <c r="N35" i="24"/>
  <c r="K35" i="24"/>
  <c r="L35" i="24"/>
  <c r="R34" i="24"/>
  <c r="H21" i="48"/>
  <c r="L20" i="48"/>
  <c r="J37" i="24"/>
  <c r="O36" i="24"/>
  <c r="P36" i="24"/>
  <c r="H69" i="43"/>
  <c r="H83" i="43" s="1"/>
  <c r="U17" i="44"/>
  <c r="V17" i="44"/>
  <c r="W17" i="44"/>
  <c r="J87" i="34"/>
  <c r="J119" i="34" s="1"/>
  <c r="J120" i="34" s="1"/>
  <c r="J107" i="34"/>
  <c r="J112" i="34" s="1"/>
  <c r="J126" i="34"/>
  <c r="J133" i="34" s="1"/>
  <c r="U14" i="44"/>
  <c r="V14" i="44"/>
  <c r="W14" i="44"/>
  <c r="H103" i="43"/>
  <c r="H72" i="43" s="1"/>
  <c r="U18" i="44"/>
  <c r="W18" i="44"/>
  <c r="V18" i="44"/>
  <c r="H38" i="5"/>
  <c r="J38" i="5" s="1"/>
  <c r="I38" i="5"/>
  <c r="D39" i="5"/>
  <c r="U13" i="44"/>
  <c r="V13" i="44"/>
  <c r="W13" i="44"/>
  <c r="D29" i="23"/>
  <c r="K21" i="51"/>
  <c r="M21" i="51"/>
  <c r="L21" i="51"/>
  <c r="J21" i="51"/>
  <c r="N21" i="51"/>
  <c r="G22" i="51"/>
  <c r="C22" i="51"/>
  <c r="B23" i="51"/>
  <c r="I22" i="51"/>
  <c r="E22" i="51"/>
  <c r="D22" i="51"/>
  <c r="F22" i="51"/>
  <c r="W12" i="44"/>
  <c r="V12" i="44"/>
  <c r="U12" i="44"/>
  <c r="H120" i="43"/>
  <c r="H117" i="43"/>
  <c r="H84" i="43"/>
  <c r="R35" i="24" l="1"/>
  <c r="J38" i="24"/>
  <c r="O37" i="24"/>
  <c r="P37" i="24"/>
  <c r="L36" i="24"/>
  <c r="M36" i="24"/>
  <c r="N36" i="24"/>
  <c r="K36" i="24"/>
  <c r="L21" i="48"/>
  <c r="H22" i="48"/>
  <c r="J88" i="34"/>
  <c r="J102" i="34" s="1"/>
  <c r="J103" i="34" s="1"/>
  <c r="J122" i="34"/>
  <c r="J91" i="34" s="1"/>
  <c r="J97" i="34" s="1"/>
  <c r="H39" i="5"/>
  <c r="J39" i="5" s="1"/>
  <c r="I39" i="5"/>
  <c r="D40" i="5"/>
  <c r="M22" i="51"/>
  <c r="K22" i="51"/>
  <c r="N22" i="51"/>
  <c r="L22" i="51"/>
  <c r="J22" i="51"/>
  <c r="I23" i="51"/>
  <c r="F23" i="51"/>
  <c r="D23" i="51"/>
  <c r="G23" i="51"/>
  <c r="E23" i="51"/>
  <c r="B24" i="51"/>
  <c r="C23" i="51"/>
  <c r="D30" i="23"/>
  <c r="H78" i="43"/>
  <c r="I63" i="43"/>
  <c r="J139" i="34"/>
  <c r="J136" i="34"/>
  <c r="R36" i="24" l="1"/>
  <c r="K37" i="24"/>
  <c r="L37" i="24"/>
  <c r="M37" i="24"/>
  <c r="N37" i="24"/>
  <c r="H23" i="48"/>
  <c r="L22" i="48"/>
  <c r="J39" i="24"/>
  <c r="P38" i="24"/>
  <c r="O38" i="24"/>
  <c r="K82" i="34"/>
  <c r="K132" i="34" s="1"/>
  <c r="D31" i="23"/>
  <c r="H40" i="5"/>
  <c r="J40" i="5" s="1"/>
  <c r="I40" i="5"/>
  <c r="D41" i="5"/>
  <c r="K23" i="51"/>
  <c r="M23" i="51"/>
  <c r="N23" i="51"/>
  <c r="L23" i="51"/>
  <c r="J23" i="51"/>
  <c r="I113" i="43"/>
  <c r="I65" i="43"/>
  <c r="I24" i="51"/>
  <c r="E24" i="51"/>
  <c r="G24" i="51"/>
  <c r="C24" i="51"/>
  <c r="F24" i="51"/>
  <c r="D24" i="51"/>
  <c r="P39" i="24" l="1"/>
  <c r="O39" i="24"/>
  <c r="J40" i="24"/>
  <c r="R37" i="24"/>
  <c r="L23" i="48"/>
  <c r="H24" i="48"/>
  <c r="O10" i="48"/>
  <c r="M38" i="24"/>
  <c r="K38" i="24"/>
  <c r="N38" i="24"/>
  <c r="L38" i="24"/>
  <c r="K84" i="34"/>
  <c r="K85" i="34" s="1"/>
  <c r="K86" i="34" s="1"/>
  <c r="K24" i="51"/>
  <c r="M24" i="51"/>
  <c r="N24" i="51"/>
  <c r="L24" i="51"/>
  <c r="J24" i="51"/>
  <c r="I66" i="43"/>
  <c r="I67" i="43" s="1"/>
  <c r="H41" i="5"/>
  <c r="J41" i="5" s="1"/>
  <c r="I41" i="5"/>
  <c r="D42" i="5"/>
  <c r="D32" i="23"/>
  <c r="R38" i="24" l="1"/>
  <c r="R8" i="48"/>
  <c r="P9" i="48" a="1"/>
  <c r="P40" i="24"/>
  <c r="O40" i="24"/>
  <c r="J41" i="24"/>
  <c r="H25" i="48"/>
  <c r="L24" i="48"/>
  <c r="L39" i="24"/>
  <c r="K39" i="24"/>
  <c r="M39" i="24"/>
  <c r="N39" i="24"/>
  <c r="I107" i="43"/>
  <c r="I114" i="43" s="1"/>
  <c r="I88" i="43"/>
  <c r="I93" i="43" s="1"/>
  <c r="I68" i="43"/>
  <c r="I100" i="43" s="1"/>
  <c r="I101" i="43" s="1"/>
  <c r="D33" i="23"/>
  <c r="K107" i="34"/>
  <c r="K112" i="34" s="1"/>
  <c r="K126" i="34"/>
  <c r="K133" i="34" s="1"/>
  <c r="K87" i="34"/>
  <c r="K119" i="34" s="1"/>
  <c r="K120" i="34" s="1"/>
  <c r="H42" i="5"/>
  <c r="J42" i="5" s="1"/>
  <c r="I42" i="5"/>
  <c r="N40" i="24" l="1"/>
  <c r="M40" i="24"/>
  <c r="K40" i="24"/>
  <c r="L40" i="24"/>
  <c r="P9" i="48"/>
  <c r="S7" i="48" s="1"/>
  <c r="P10" i="48"/>
  <c r="S8" i="48" s="1"/>
  <c r="L25" i="48"/>
  <c r="H26" i="48"/>
  <c r="L26" i="48" s="1"/>
  <c r="O41" i="24"/>
  <c r="P41" i="24"/>
  <c r="J42" i="24"/>
  <c r="R39" i="24"/>
  <c r="I103" i="43"/>
  <c r="I72" i="43" s="1"/>
  <c r="I78" i="43" s="1"/>
  <c r="K122" i="34"/>
  <c r="K91" i="34" s="1"/>
  <c r="L82" i="34" s="1"/>
  <c r="K88" i="34"/>
  <c r="K102" i="34" s="1"/>
  <c r="D34" i="23"/>
  <c r="I117" i="43"/>
  <c r="I120" i="43"/>
  <c r="K136" i="34"/>
  <c r="K139" i="34"/>
  <c r="I69" i="43"/>
  <c r="I83" i="43" s="1"/>
  <c r="J63" i="43" l="1"/>
  <c r="R40" i="24"/>
  <c r="O42" i="24"/>
  <c r="J43" i="24"/>
  <c r="P42" i="24"/>
  <c r="N41" i="24"/>
  <c r="K41" i="24"/>
  <c r="M41" i="24"/>
  <c r="L41" i="24"/>
  <c r="I24" i="48"/>
  <c r="M24" i="48" s="1"/>
  <c r="I23" i="48"/>
  <c r="M23" i="48" s="1"/>
  <c r="I25" i="48"/>
  <c r="M25" i="48" s="1"/>
  <c r="I26" i="48"/>
  <c r="M26" i="48" s="1"/>
  <c r="I19" i="48"/>
  <c r="M19" i="48" s="1"/>
  <c r="I21" i="48"/>
  <c r="M21" i="48" s="1"/>
  <c r="I22" i="48"/>
  <c r="M22" i="48" s="1"/>
  <c r="I20" i="48"/>
  <c r="M20" i="48" s="1"/>
  <c r="K97" i="34"/>
  <c r="J113" i="43"/>
  <c r="J65" i="43"/>
  <c r="D35" i="23"/>
  <c r="L132" i="34"/>
  <c r="L84" i="34"/>
  <c r="I84" i="43"/>
  <c r="K103" i="34"/>
  <c r="R41" i="24" l="1"/>
  <c r="M42" i="24"/>
  <c r="L42" i="24"/>
  <c r="K42" i="24"/>
  <c r="N42" i="24"/>
  <c r="O43" i="24"/>
  <c r="P43" i="24"/>
  <c r="J44" i="24"/>
  <c r="L85" i="34"/>
  <c r="L86" i="34" s="1"/>
  <c r="J66" i="43"/>
  <c r="J67" i="43" s="1"/>
  <c r="D36" i="23"/>
  <c r="R42" i="24" l="1"/>
  <c r="O44" i="24"/>
  <c r="P44" i="24"/>
  <c r="J45" i="24"/>
  <c r="K43" i="24"/>
  <c r="M43" i="24"/>
  <c r="L43" i="24"/>
  <c r="N43" i="24"/>
  <c r="J88" i="43"/>
  <c r="J93" i="43" s="1"/>
  <c r="J107" i="43"/>
  <c r="J114" i="43" s="1"/>
  <c r="J68" i="43"/>
  <c r="J100" i="43" s="1"/>
  <c r="J101" i="43" s="1"/>
  <c r="D37" i="23"/>
  <c r="L126" i="34"/>
  <c r="L133" i="34" s="1"/>
  <c r="L107" i="34"/>
  <c r="L112" i="34" s="1"/>
  <c r="L87" i="34"/>
  <c r="L119" i="34" s="1"/>
  <c r="L120" i="34" s="1"/>
  <c r="R43" i="24" l="1"/>
  <c r="P45" i="24"/>
  <c r="J46" i="24"/>
  <c r="O45" i="24"/>
  <c r="L44" i="24"/>
  <c r="K44" i="24"/>
  <c r="M44" i="24"/>
  <c r="N44" i="24"/>
  <c r="L122" i="34"/>
  <c r="L91" i="34" s="1"/>
  <c r="M82" i="34" s="1"/>
  <c r="L136" i="34"/>
  <c r="L139" i="34"/>
  <c r="J69" i="43"/>
  <c r="J83" i="43" s="1"/>
  <c r="L88" i="34"/>
  <c r="L102" i="34" s="1"/>
  <c r="D38" i="23"/>
  <c r="J117" i="43"/>
  <c r="J120" i="43"/>
  <c r="J103" i="43"/>
  <c r="J72" i="43" s="1"/>
  <c r="R44" i="24" l="1"/>
  <c r="O46" i="24"/>
  <c r="J47" i="24"/>
  <c r="P46" i="24"/>
  <c r="N45" i="24"/>
  <c r="M45" i="24"/>
  <c r="L45" i="24"/>
  <c r="K45" i="24"/>
  <c r="L97" i="34"/>
  <c r="D39" i="23"/>
  <c r="L103" i="34"/>
  <c r="J84" i="43"/>
  <c r="K63" i="43"/>
  <c r="J78" i="43"/>
  <c r="M132" i="34"/>
  <c r="M84" i="34"/>
  <c r="K46" i="24" l="1"/>
  <c r="L46" i="24"/>
  <c r="M46" i="24"/>
  <c r="N46" i="24"/>
  <c r="R45" i="24"/>
  <c r="O47" i="24"/>
  <c r="P47" i="24"/>
  <c r="J48" i="24"/>
  <c r="K113" i="43"/>
  <c r="K65" i="43"/>
  <c r="M85" i="34"/>
  <c r="M86" i="34" s="1"/>
  <c r="D40" i="23"/>
  <c r="O48" i="24" l="1"/>
  <c r="P48" i="24"/>
  <c r="J49" i="24"/>
  <c r="N47" i="24"/>
  <c r="K47" i="24"/>
  <c r="M47" i="24"/>
  <c r="L47" i="24"/>
  <c r="R46" i="24"/>
  <c r="M126" i="34"/>
  <c r="M133" i="34" s="1"/>
  <c r="M107" i="34"/>
  <c r="M112" i="34" s="1"/>
  <c r="M87" i="34"/>
  <c r="M119" i="34" s="1"/>
  <c r="M120" i="34" s="1"/>
  <c r="K66" i="43"/>
  <c r="K67" i="43" s="1"/>
  <c r="D41" i="23"/>
  <c r="R47" i="24" l="1"/>
  <c r="J50" i="24"/>
  <c r="O49" i="24"/>
  <c r="P49" i="24"/>
  <c r="K48" i="24"/>
  <c r="M48" i="24"/>
  <c r="L48" i="24"/>
  <c r="N48" i="24"/>
  <c r="M88" i="34"/>
  <c r="M102" i="34" s="1"/>
  <c r="M103" i="34" s="1"/>
  <c r="M122" i="34"/>
  <c r="M91" i="34" s="1"/>
  <c r="M97" i="34" s="1"/>
  <c r="K88" i="43"/>
  <c r="K93" i="43" s="1"/>
  <c r="K107" i="43"/>
  <c r="K114" i="43" s="1"/>
  <c r="K68" i="43"/>
  <c r="K100" i="43" s="1"/>
  <c r="K101" i="43" s="1"/>
  <c r="M136" i="34"/>
  <c r="M138" i="34" s="1"/>
  <c r="M139" i="34" s="1"/>
  <c r="F140" i="34" s="1"/>
  <c r="F142" i="34" s="1"/>
  <c r="F144" i="34" s="1"/>
  <c r="D42" i="23"/>
  <c r="R48" i="24" l="1"/>
  <c r="N49" i="24"/>
  <c r="L49" i="24"/>
  <c r="M49" i="24"/>
  <c r="K49" i="24"/>
  <c r="J51" i="24"/>
  <c r="O50" i="24"/>
  <c r="P50" i="24"/>
  <c r="F10" i="35"/>
  <c r="B26" i="35"/>
  <c r="D43" i="23"/>
  <c r="K117" i="43"/>
  <c r="K120" i="43"/>
  <c r="K103" i="43"/>
  <c r="K72" i="43" s="1"/>
  <c r="K69" i="43"/>
  <c r="K83" i="43" s="1"/>
  <c r="L50" i="24" l="1"/>
  <c r="M50" i="24"/>
  <c r="N50" i="24"/>
  <c r="K50" i="24"/>
  <c r="R49" i="24"/>
  <c r="J52" i="24"/>
  <c r="P51" i="24"/>
  <c r="O51" i="24"/>
  <c r="L63" i="43"/>
  <c r="K78" i="43"/>
  <c r="C13" i="23"/>
  <c r="K84" i="43"/>
  <c r="M51" i="24" l="1"/>
  <c r="N51" i="24"/>
  <c r="L51" i="24"/>
  <c r="K51" i="24"/>
  <c r="O52" i="24"/>
  <c r="P52" i="24"/>
  <c r="J53" i="24"/>
  <c r="R50" i="24"/>
  <c r="H7" i="23"/>
  <c r="I11" i="23"/>
  <c r="I12" i="23"/>
  <c r="I13" i="23"/>
  <c r="I14" i="23"/>
  <c r="I15" i="23"/>
  <c r="I16" i="23"/>
  <c r="I17"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L113" i="43"/>
  <c r="L65" i="43"/>
  <c r="I43" i="23"/>
  <c r="J54" i="24" l="1"/>
  <c r="O53" i="24"/>
  <c r="P53" i="24"/>
  <c r="R51" i="24"/>
  <c r="L52" i="24"/>
  <c r="K52" i="24"/>
  <c r="M52" i="24"/>
  <c r="N52" i="24"/>
  <c r="L42" i="23"/>
  <c r="P42" i="23"/>
  <c r="N42" i="23"/>
  <c r="L38" i="23"/>
  <c r="P38" i="23"/>
  <c r="N38" i="23"/>
  <c r="N41" i="23"/>
  <c r="L41" i="23"/>
  <c r="P41" i="23"/>
  <c r="N37" i="23"/>
  <c r="L37" i="23"/>
  <c r="P37" i="23"/>
  <c r="N33" i="23"/>
  <c r="L33" i="23"/>
  <c r="P33" i="23"/>
  <c r="N29" i="23"/>
  <c r="L29" i="23"/>
  <c r="P29" i="23"/>
  <c r="N25" i="23"/>
  <c r="L25" i="23"/>
  <c r="P25" i="23"/>
  <c r="N21" i="23"/>
  <c r="L21" i="23"/>
  <c r="P21" i="23"/>
  <c r="N17" i="23"/>
  <c r="L17" i="23"/>
  <c r="P17" i="23"/>
  <c r="L13" i="23"/>
  <c r="P13" i="23"/>
  <c r="N13" i="23"/>
  <c r="L43" i="23"/>
  <c r="P43" i="23"/>
  <c r="N43" i="23"/>
  <c r="N40" i="23"/>
  <c r="P40" i="23"/>
  <c r="L40" i="23"/>
  <c r="N32" i="23"/>
  <c r="L32" i="23"/>
  <c r="P32" i="23"/>
  <c r="N28" i="23"/>
  <c r="P28" i="23"/>
  <c r="L28" i="23"/>
  <c r="N24" i="23"/>
  <c r="P24" i="23"/>
  <c r="L24" i="23"/>
  <c r="N20" i="23"/>
  <c r="P20" i="23"/>
  <c r="L20" i="23"/>
  <c r="N16" i="23"/>
  <c r="L16" i="23"/>
  <c r="P16" i="23"/>
  <c r="L12" i="23"/>
  <c r="P12" i="23"/>
  <c r="N12" i="23"/>
  <c r="L66" i="43"/>
  <c r="L67" i="43" s="1"/>
  <c r="N36" i="23"/>
  <c r="P36" i="23"/>
  <c r="L36" i="23"/>
  <c r="L39" i="23"/>
  <c r="P39" i="23"/>
  <c r="N39" i="23"/>
  <c r="L35" i="23"/>
  <c r="P35" i="23"/>
  <c r="N35" i="23"/>
  <c r="L31" i="23"/>
  <c r="P31" i="23"/>
  <c r="N31" i="23"/>
  <c r="L27" i="23"/>
  <c r="P27" i="23"/>
  <c r="N27" i="23"/>
  <c r="L23" i="23"/>
  <c r="P23" i="23"/>
  <c r="N23" i="23"/>
  <c r="L19" i="23"/>
  <c r="P19" i="23"/>
  <c r="N19" i="23"/>
  <c r="L15" i="23"/>
  <c r="P15" i="23"/>
  <c r="N15" i="23"/>
  <c r="N11" i="23"/>
  <c r="P11" i="23"/>
  <c r="L11" i="23"/>
  <c r="L34" i="23"/>
  <c r="P34" i="23"/>
  <c r="N34" i="23"/>
  <c r="L30" i="23"/>
  <c r="P30" i="23"/>
  <c r="N30" i="23"/>
  <c r="L26" i="23"/>
  <c r="P26" i="23"/>
  <c r="N26" i="23"/>
  <c r="L22" i="23"/>
  <c r="P22" i="23"/>
  <c r="N22" i="23"/>
  <c r="L18" i="23"/>
  <c r="P18" i="23"/>
  <c r="N18" i="23"/>
  <c r="L14" i="23"/>
  <c r="P14" i="23"/>
  <c r="N14" i="23"/>
  <c r="M7" i="23"/>
  <c r="L7" i="23"/>
  <c r="V10" i="23"/>
  <c r="L53" i="24" l="1"/>
  <c r="K53" i="24"/>
  <c r="M53" i="24"/>
  <c r="N53" i="24"/>
  <c r="R52" i="24"/>
  <c r="J55" i="24"/>
  <c r="P54" i="24"/>
  <c r="O54" i="24"/>
  <c r="L107" i="43"/>
  <c r="L114" i="43" s="1"/>
  <c r="L88" i="43"/>
  <c r="L93" i="43" s="1"/>
  <c r="L68" i="43"/>
  <c r="L100" i="43" s="1"/>
  <c r="L101" i="43" s="1"/>
  <c r="O7" i="23"/>
  <c r="P7" i="23"/>
  <c r="Q7" i="23"/>
  <c r="N7" i="23"/>
  <c r="R7" i="23"/>
  <c r="M54" i="24" l="1"/>
  <c r="N54" i="24"/>
  <c r="L54" i="24"/>
  <c r="K54" i="24"/>
  <c r="O55" i="24"/>
  <c r="J56" i="24"/>
  <c r="P55" i="24"/>
  <c r="R53" i="24"/>
  <c r="S7" i="23"/>
  <c r="V11" i="23" s="1"/>
  <c r="T19" i="23" s="1"/>
  <c r="D10" i="23" s="1"/>
  <c r="T7" i="23"/>
  <c r="V12" i="23" s="1"/>
  <c r="L103" i="43"/>
  <c r="L72" i="43" s="1"/>
  <c r="V14" i="23"/>
  <c r="V16" i="23"/>
  <c r="L69" i="43"/>
  <c r="L83" i="43" s="1"/>
  <c r="V13" i="23"/>
  <c r="V15" i="23"/>
  <c r="L117" i="43"/>
  <c r="L120" i="43"/>
  <c r="L55" i="24" l="1"/>
  <c r="K55" i="24"/>
  <c r="M55" i="24"/>
  <c r="N55" i="24"/>
  <c r="R54" i="24"/>
  <c r="J57" i="24"/>
  <c r="P56" i="24"/>
  <c r="O56" i="24"/>
  <c r="L78" i="43"/>
  <c r="M63" i="43"/>
  <c r="L84" i="43"/>
  <c r="M56" i="24" l="1"/>
  <c r="N56" i="24"/>
  <c r="L56" i="24"/>
  <c r="K56" i="24"/>
  <c r="J58" i="24"/>
  <c r="O57" i="24"/>
  <c r="P57" i="24"/>
  <c r="R55" i="24"/>
  <c r="M113" i="43"/>
  <c r="M65" i="43"/>
  <c r="R56" i="24" l="1"/>
  <c r="L57" i="24"/>
  <c r="K57" i="24"/>
  <c r="N57" i="24"/>
  <c r="M57" i="24"/>
  <c r="O58" i="24"/>
  <c r="J59" i="24"/>
  <c r="P58" i="24"/>
  <c r="M66" i="43"/>
  <c r="M67" i="43" s="1"/>
  <c r="K58" i="24" l="1"/>
  <c r="M58" i="24"/>
  <c r="N58" i="24"/>
  <c r="L58" i="24"/>
  <c r="P59" i="24"/>
  <c r="O59" i="24"/>
  <c r="R57" i="24"/>
  <c r="M107" i="43"/>
  <c r="M114" i="43" s="1"/>
  <c r="M88" i="43"/>
  <c r="M93" i="43" s="1"/>
  <c r="M68" i="43"/>
  <c r="M100" i="43" s="1"/>
  <c r="M101" i="43" s="1"/>
  <c r="R58" i="24" l="1"/>
  <c r="L59" i="24"/>
  <c r="N59" i="24"/>
  <c r="K59" i="24"/>
  <c r="M59" i="24"/>
  <c r="M69" i="43"/>
  <c r="M83" i="43" s="1"/>
  <c r="M84" i="43" s="1"/>
  <c r="M117" i="43"/>
  <c r="M119" i="43" s="1"/>
  <c r="M120" i="43" s="1"/>
  <c r="D121" i="43" s="1"/>
  <c r="D123" i="43" s="1"/>
  <c r="D125" i="43" s="1"/>
  <c r="F7" i="44" s="1"/>
  <c r="M103" i="43"/>
  <c r="M72" i="43" s="1"/>
  <c r="M78" i="43" s="1"/>
  <c r="R59"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tykoh</author>
  </authors>
  <commentList>
    <comment ref="G25" authorId="0" shapeId="0" xr:uid="{00000000-0006-0000-2300-000001000000}">
      <text>
        <r>
          <rPr>
            <b/>
            <sz val="8"/>
            <color indexed="81"/>
            <rFont val="Tahoma"/>
            <family val="2"/>
          </rPr>
          <t>##offset-colour:4</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tykoh</author>
  </authors>
  <commentList>
    <comment ref="G41" authorId="0" shapeId="0" xr:uid="{00000000-0006-0000-2900-000001000000}">
      <text>
        <r>
          <rPr>
            <b/>
            <sz val="8"/>
            <color indexed="81"/>
            <rFont val="Tahoma"/>
            <family val="2"/>
          </rPr>
          <t>##dont-colour</t>
        </r>
        <r>
          <rPr>
            <sz val="8"/>
            <color indexed="81"/>
            <rFont val="Tahoma"/>
            <family val="2"/>
          </rPr>
          <t xml:space="preserve">
</t>
        </r>
      </text>
    </comment>
    <comment ref="G42" authorId="0" shapeId="0" xr:uid="{00000000-0006-0000-2900-000002000000}">
      <text>
        <r>
          <rPr>
            <b/>
            <sz val="8"/>
            <color indexed="81"/>
            <rFont val="Tahoma"/>
            <family val="2"/>
          </rPr>
          <t>##dont-colour</t>
        </r>
      </text>
    </comment>
    <comment ref="G43" authorId="0" shapeId="0" xr:uid="{00000000-0006-0000-2900-000003000000}">
      <text>
        <r>
          <rPr>
            <b/>
            <sz val="8"/>
            <color indexed="81"/>
            <rFont val="Tahoma"/>
            <family val="2"/>
          </rPr>
          <t>##dont-colour</t>
        </r>
        <r>
          <rPr>
            <sz val="8"/>
            <color indexed="81"/>
            <rFont val="Tahoma"/>
            <family val="2"/>
          </rPr>
          <t xml:space="preserve">
</t>
        </r>
      </text>
    </comment>
    <comment ref="G44" authorId="0" shapeId="0" xr:uid="{00000000-0006-0000-2900-000004000000}">
      <text>
        <r>
          <rPr>
            <b/>
            <sz val="8"/>
            <color indexed="81"/>
            <rFont val="Tahoma"/>
            <family val="2"/>
          </rPr>
          <t>##dont-colour</t>
        </r>
        <r>
          <rPr>
            <sz val="8"/>
            <color indexed="81"/>
            <rFont val="Tahoma"/>
            <family val="2"/>
          </rPr>
          <t xml:space="preserve">
</t>
        </r>
      </text>
    </comment>
    <comment ref="G45" authorId="0" shapeId="0" xr:uid="{00000000-0006-0000-2900-000005000000}">
      <text>
        <r>
          <rPr>
            <b/>
            <sz val="8"/>
            <color indexed="81"/>
            <rFont val="Tahoma"/>
            <family val="2"/>
          </rPr>
          <t xml:space="preserve">##dont-colour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tykoh</author>
  </authors>
  <commentList>
    <comment ref="H182" authorId="0" shapeId="0" xr:uid="{00000000-0006-0000-2E00-000001000000}">
      <text>
        <r>
          <rPr>
            <b/>
            <sz val="8"/>
            <color indexed="81"/>
            <rFont val="Tahoma"/>
            <family val="2"/>
          </rPr>
          <t>##dont-colour</t>
        </r>
      </text>
    </comment>
  </commentList>
</comments>
</file>

<file path=xl/sharedStrings.xml><?xml version="1.0" encoding="utf-8"?>
<sst xmlns="http://schemas.openxmlformats.org/spreadsheetml/2006/main" count="3929" uniqueCount="1665">
  <si>
    <t>Calculate indices</t>
  </si>
  <si>
    <t>Average</t>
  </si>
  <si>
    <t>Calculate trend</t>
  </si>
  <si>
    <t>Prediction</t>
  </si>
  <si>
    <t>trend</t>
  </si>
  <si>
    <t>rnd trend</t>
  </si>
  <si>
    <t>rnd seasonal</t>
  </si>
  <si>
    <t>Formula to generate test data is =C3*(1+season_trend)*(1+(RAND()-0.5)*season_rnd_trend)*(1+CHOOSE(MOD(A3,4)+1,season_q1,season_q2,season_q3,season_q4))*(1+(RAND()-0.5)*season_rnd_season)</t>
  </si>
  <si>
    <t>Seasonalising</t>
  </si>
  <si>
    <t>IF function</t>
  </si>
  <si>
    <t>Interest payments on debt</t>
  </si>
  <si>
    <t>Disclaimer:  Tykoh Group Pty Limited ("Tykoh") disclaims all warranties of quality, accuracy, correctness, or fitness for a particular purpose. The user assumes the entire risk as to the quality , accuracy and correctness of this work.  The user assumes the entire risk as to consequences of any actions user may take or not take as a result  of anything in this work.  In no event will Tykoh be liable for any indirect, special, or consequential damages. This work may not be modified in any way nor may any attempt be made to unlock, unprotect, reverse engineer or include it as part of any other work.  This work may be freely distributed for private, individual use.  This work may not be used for teaching purposes without the prior written permission of Tykoh.  All rights reserved.</t>
  </si>
  <si>
    <t>VLOOKUP assumes the search column is the leftmost column in its second argument.  If you try to have the search column elsewhere the lookup will fail.  As in the following example.  In this example the search column is the rightmost one.  The lookup has no way of knowing that you intend the right column to be the search one so it uses the leftmost one.  And not surprisingly - it fails.</t>
  </si>
  <si>
    <r>
      <t xml:space="preserve">Overview
</t>
    </r>
    <r>
      <rPr>
        <sz val="10"/>
        <rFont val="Arial"/>
        <family val="2"/>
      </rPr>
      <t>The VLOOKUP function performs a lookup on a table that has a vertical orientation (i.e. one that is laid out in columns).  [Another function in the lookup family - LOOKUP - works with tables that have vertical AND horizontal organisations.]</t>
    </r>
  </si>
  <si>
    <r>
      <t xml:space="preserve">The exercise
</t>
    </r>
    <r>
      <rPr>
        <sz val="10"/>
        <rFont val="Arial"/>
        <family val="2"/>
      </rPr>
      <t>You need to design a "compound" or "nested" IF statement to test whether an amount is within two thresholds.  There are two thresholds:  An upper threshold and a lower one.</t>
    </r>
    <r>
      <rPr>
        <b/>
        <sz val="10"/>
        <rFont val="Arial"/>
        <family val="2"/>
      </rPr>
      <t xml:space="preserve">
</t>
    </r>
  </si>
  <si>
    <r>
      <t xml:space="preserve">Overview
</t>
    </r>
    <r>
      <rPr>
        <sz val="10"/>
        <rFont val="Arial"/>
        <family val="2"/>
      </rPr>
      <t>Interpolating involves "filling in the gaps" in tabular or graphic data.  The chart below provides an illustration. The chart relates to a profit-sharing agreement:  Depending on the level of revenue a certain percentage of profit is shared.</t>
    </r>
  </si>
  <si>
    <t>What if we wanted to count the number of "B" and lower performances?  The following example shows how to do that.  The second argument of the COUNTIF function is "&gt;=B".  This will make the function count all the performances that are B and also all the performances that are alphabetically greater than B (i.e. C, D, etc).</t>
  </si>
  <si>
    <t>Rather than "hard-coding" the second argument (i.e. explicitly giving the performance level(s) we wish to count) we can have a cell reference as the second argument.  As in the following example.  Here the second argument is the cell reference D4.  In this case the COUNTIF function will count all the performance levels that equal that shown in cell D4.</t>
  </si>
  <si>
    <t>Having generated two columns of TRUEs and FALSEs we can use SUMPRODUCT to determine how many rows contain two TRUEs (i.e. the number of departments that were within budget in both years).  That calculation is in cell A15.</t>
  </si>
  <si>
    <t>That completes our "long-way" of calculating the answer.  Now we'll do the "short-way".  The short way involves calculating the TRUEs and FALSEs directly in the SUMPRODUCT function rather than in separate cells in the spreadsheet.  The illustration below shows how this is done.</t>
  </si>
  <si>
    <t>Combine_3</t>
  </si>
  <si>
    <t>2D lookups</t>
  </si>
  <si>
    <t>The COUNTIF function is used to count conditionally - to count only items that meet a defined criterion. The function takes two arguments.  The first argument is reference to a range of cells.  These are the cells to be counted conditionally.  The second argument is a test or condition that needs to be met for cells to be counted.</t>
  </si>
  <si>
    <t>Feedback from our Spreadsheet skills course: "Excellent knowledge and clear communication from the presenter"</t>
  </si>
  <si>
    <t>conditional count exercise</t>
  </si>
  <si>
    <t>Ex_Status</t>
  </si>
  <si>
    <t>of exercises completed</t>
  </si>
  <si>
    <t>Exercises</t>
  </si>
  <si>
    <t>status of completed</t>
  </si>
  <si>
    <t>Lists status of completed exercises</t>
  </si>
  <si>
    <t xml:space="preserve">Number of times performance was between </t>
  </si>
  <si>
    <t>is</t>
  </si>
  <si>
    <t>Dept. Performance level:</t>
  </si>
  <si>
    <t>Compound</t>
  </si>
  <si>
    <t>IF - exercise</t>
  </si>
  <si>
    <t>compound - exercise</t>
  </si>
  <si>
    <t>Ex_3</t>
  </si>
  <si>
    <t>on conditional counting</t>
  </si>
  <si>
    <t>Conditional</t>
  </si>
  <si>
    <t>Counting</t>
  </si>
  <si>
    <t>Counting - exercise</t>
  </si>
  <si>
    <t>conditionally - exercise</t>
  </si>
  <si>
    <t>Conditional counting</t>
  </si>
  <si>
    <t>Counting only when certain criteria are met</t>
  </si>
  <si>
    <t>Within budget:</t>
  </si>
  <si>
    <t>What are some of the challenges in designing this model?</t>
  </si>
  <si>
    <t>What spreadsheet functions and features are used in this model?</t>
  </si>
  <si>
    <t>What skills are needed to make this model?</t>
  </si>
  <si>
    <t>above</t>
  </si>
  <si>
    <t>Where can I learn modelling skills to make models like this?</t>
  </si>
  <si>
    <t xml:space="preserve">This model estimates the equity value of a firm. The model allows its user to define a base case and four scenarios.  The model shows the equity value for the base case and all of the scenarios. 
</t>
  </si>
  <si>
    <t>The model permits its user to choose one of the scenarios for further analysis.</t>
  </si>
  <si>
    <t>The chosen scenario is highlighted. An additional highlight emphasises scenario assumptions that differ from their base case values.</t>
  </si>
  <si>
    <t>A chart shows the equity value for the base case and for the chosen scenario.  The base case is shown on the left of the chart and the chosen scenario on the right.  Between the base case and the chosen scenario are a number of "steps". Each step correspo</t>
  </si>
  <si>
    <t>These are some of the challenges in designing this model.</t>
  </si>
  <si>
    <t>● Minimising duplication / maximising modelling efficiency / reducing risk of errors</t>
  </si>
  <si>
    <t>The model may use up to seventeen combinations of inputs in calculating equity values:  One input combination is needed for the base case and another four for the four scenarios. Additionally up to twelve combinations are needed for the chart bridging the</t>
  </si>
  <si>
    <t>● Making the model dynamic</t>
  </si>
  <si>
    <t>Back to contents</t>
  </si>
  <si>
    <t>The AND function accepts a number of TRUE and FALSE parameters and returns TRUE if all of the parameters are TRUE.  It returns FALSE otherwise.</t>
  </si>
  <si>
    <t>&lt;- =AND(TRUE,TRUE)</t>
  </si>
  <si>
    <t>&lt;- =AND(TRUE,FALSE)</t>
  </si>
  <si>
    <t>&lt;- =AND(FALSE,FALSE)</t>
  </si>
  <si>
    <r>
      <t>&lt;- =AND(</t>
    </r>
    <r>
      <rPr>
        <sz val="10"/>
        <color indexed="10"/>
        <rFont val="Arial"/>
      </rPr>
      <t>E2</t>
    </r>
    <r>
      <rPr>
        <sz val="10"/>
        <rFont val="Arial"/>
      </rPr>
      <t>&lt;</t>
    </r>
    <r>
      <rPr>
        <sz val="10"/>
        <color indexed="12"/>
        <rFont val="Arial"/>
      </rPr>
      <t>G2</t>
    </r>
    <r>
      <rPr>
        <sz val="10"/>
        <rFont val="Arial"/>
      </rPr>
      <t>,</t>
    </r>
    <r>
      <rPr>
        <sz val="10"/>
        <color indexed="12"/>
        <rFont val="Arial"/>
      </rPr>
      <t>G2</t>
    </r>
    <r>
      <rPr>
        <sz val="10"/>
        <rFont val="Arial"/>
      </rPr>
      <t>&lt;</t>
    </r>
    <r>
      <rPr>
        <sz val="10"/>
        <color indexed="57"/>
        <rFont val="Arial"/>
      </rPr>
      <t>I2</t>
    </r>
    <r>
      <rPr>
        <sz val="10"/>
        <rFont val="Arial"/>
      </rPr>
      <t>)</t>
    </r>
  </si>
  <si>
    <r>
      <t>&lt;- =AND(</t>
    </r>
    <r>
      <rPr>
        <sz val="10"/>
        <color indexed="52"/>
        <rFont val="Arial"/>
      </rPr>
      <t>E4</t>
    </r>
    <r>
      <rPr>
        <sz val="10"/>
        <rFont val="Arial"/>
      </rPr>
      <t>&lt;</t>
    </r>
    <r>
      <rPr>
        <sz val="10"/>
        <color indexed="61"/>
        <rFont val="Arial"/>
      </rPr>
      <t>G4</t>
    </r>
    <r>
      <rPr>
        <sz val="10"/>
        <rFont val="Arial"/>
      </rPr>
      <t>,</t>
    </r>
    <r>
      <rPr>
        <sz val="10"/>
        <color indexed="61"/>
        <rFont val="Arial"/>
      </rPr>
      <t>G4</t>
    </r>
    <r>
      <rPr>
        <sz val="10"/>
        <rFont val="Arial"/>
      </rPr>
      <t>&lt;</t>
    </r>
    <r>
      <rPr>
        <sz val="10"/>
        <color indexed="8"/>
        <rFont val="Arial"/>
      </rPr>
      <t>I4</t>
    </r>
    <r>
      <rPr>
        <sz val="10"/>
        <rFont val="Arial"/>
      </rPr>
      <t>)</t>
    </r>
  </si>
  <si>
    <r>
      <t>&lt;- =AND(</t>
    </r>
    <r>
      <rPr>
        <sz val="10"/>
        <color indexed="10"/>
        <rFont val="Arial"/>
      </rPr>
      <t>E6</t>
    </r>
    <r>
      <rPr>
        <sz val="10"/>
        <rFont val="Arial"/>
      </rPr>
      <t>&lt;</t>
    </r>
    <r>
      <rPr>
        <sz val="10"/>
        <color indexed="12"/>
        <rFont val="Arial"/>
      </rPr>
      <t>G6</t>
    </r>
    <r>
      <rPr>
        <sz val="10"/>
        <rFont val="Arial"/>
      </rPr>
      <t>,</t>
    </r>
    <r>
      <rPr>
        <sz val="10"/>
        <color indexed="12"/>
        <rFont val="Arial"/>
      </rPr>
      <t>G6</t>
    </r>
    <r>
      <rPr>
        <sz val="10"/>
        <rFont val="Arial"/>
      </rPr>
      <t>&lt;</t>
    </r>
    <r>
      <rPr>
        <sz val="10"/>
        <color indexed="57"/>
        <rFont val="Arial"/>
      </rPr>
      <t>I6</t>
    </r>
    <r>
      <rPr>
        <sz val="10"/>
        <rFont val="Arial"/>
      </rPr>
      <t>)</t>
    </r>
  </si>
  <si>
    <r>
      <t>&lt;- =</t>
    </r>
    <r>
      <rPr>
        <sz val="10"/>
        <color indexed="10"/>
        <rFont val="Arial"/>
      </rPr>
      <t>E1</t>
    </r>
    <r>
      <rPr>
        <sz val="10"/>
        <rFont val="Arial"/>
      </rPr>
      <t>&lt;</t>
    </r>
    <r>
      <rPr>
        <sz val="10"/>
        <color indexed="12"/>
        <rFont val="Arial"/>
      </rPr>
      <t>G1</t>
    </r>
  </si>
  <si>
    <r>
      <t>&lt;- =</t>
    </r>
    <r>
      <rPr>
        <sz val="10"/>
        <color indexed="57"/>
        <rFont val="Arial"/>
      </rPr>
      <t>E3</t>
    </r>
    <r>
      <rPr>
        <sz val="10"/>
        <rFont val="Arial"/>
      </rPr>
      <t>&gt;</t>
    </r>
    <r>
      <rPr>
        <sz val="10"/>
        <color indexed="52"/>
        <rFont val="Arial"/>
      </rPr>
      <t>G3</t>
    </r>
  </si>
  <si>
    <t>Logical tests and conditions</t>
  </si>
  <si>
    <t>Conditions</t>
  </si>
  <si>
    <t>Logical</t>
  </si>
  <si>
    <t>Logic</t>
  </si>
  <si>
    <t>conditions and tests</t>
  </si>
  <si>
    <t>Tests</t>
  </si>
  <si>
    <t>logical</t>
  </si>
  <si>
    <r>
      <t>&lt;- =SUMPRODUCT(</t>
    </r>
    <r>
      <rPr>
        <sz val="10"/>
        <color indexed="57"/>
        <rFont val="Arial"/>
      </rPr>
      <t>B9:B12</t>
    </r>
    <r>
      <rPr>
        <sz val="10"/>
        <rFont val="Arial"/>
      </rPr>
      <t>*</t>
    </r>
    <r>
      <rPr>
        <sz val="10"/>
        <color indexed="52"/>
        <rFont val="Arial"/>
      </rPr>
      <t>C9:C12</t>
    </r>
    <r>
      <rPr>
        <sz val="10"/>
        <rFont val="Arial"/>
      </rPr>
      <t>)</t>
    </r>
  </si>
  <si>
    <r>
      <t>&lt;- =</t>
    </r>
    <r>
      <rPr>
        <sz val="10"/>
        <color indexed="10"/>
        <rFont val="Arial"/>
      </rPr>
      <t>C3</t>
    </r>
    <r>
      <rPr>
        <sz val="10"/>
        <rFont val="Arial"/>
      </rPr>
      <t>&gt;</t>
    </r>
    <r>
      <rPr>
        <sz val="10"/>
        <color indexed="12"/>
        <rFont val="Arial"/>
      </rPr>
      <t>F3</t>
    </r>
  </si>
  <si>
    <t>&lt;- =C4&gt;F4</t>
  </si>
  <si>
    <t>&lt;- =C5&gt;F5</t>
  </si>
  <si>
    <t>&lt;- =C6&gt;F6</t>
  </si>
  <si>
    <r>
      <t>&lt;- =SUMPRODUCT((</t>
    </r>
    <r>
      <rPr>
        <sz val="10"/>
        <color indexed="10"/>
        <rFont val="Arial"/>
      </rPr>
      <t>B3:B6</t>
    </r>
    <r>
      <rPr>
        <sz val="10"/>
        <rFont val="Arial"/>
      </rPr>
      <t>&gt;</t>
    </r>
    <r>
      <rPr>
        <sz val="10"/>
        <color indexed="12"/>
        <rFont val="Arial"/>
      </rPr>
      <t>E3:E6</t>
    </r>
    <r>
      <rPr>
        <sz val="10"/>
        <rFont val="Arial"/>
      </rPr>
      <t>)*(</t>
    </r>
    <r>
      <rPr>
        <sz val="10"/>
        <color indexed="57"/>
        <rFont val="Arial"/>
      </rPr>
      <t>C3:C6</t>
    </r>
    <r>
      <rPr>
        <sz val="10"/>
        <rFont val="Arial"/>
      </rPr>
      <t>&gt;</t>
    </r>
    <r>
      <rPr>
        <sz val="10"/>
        <color indexed="52"/>
        <rFont val="Arial"/>
      </rPr>
      <t>F3:F6</t>
    </r>
    <r>
      <rPr>
        <sz val="10"/>
        <rFont val="Arial"/>
      </rPr>
      <t>))</t>
    </r>
  </si>
  <si>
    <t>Number departments within budget in both years</t>
  </si>
  <si>
    <t>Freq</t>
  </si>
  <si>
    <t>100 rnd numbers</t>
  </si>
  <si>
    <t xml:space="preserve">We can see that the SUMPRODUCT calculates the number of rows on which both columns are TRUE.  </t>
  </si>
  <si>
    <t>We'll now apply SUMPRODUCT to a budgeting exercise.  We'll first solve the problem using a "long-way" and then a "short-way".  First, the long way:</t>
  </si>
  <si>
    <t>The problem is to determine the number of departments that were within budget in both 2008 and 2009.  The approach we'll use below is to generate two columns of TRUEs and FALSEs corresponding to whether the department was within budget in 2008 and 2009.</t>
  </si>
  <si>
    <r>
      <t xml:space="preserve">Positive and negative offsets
</t>
    </r>
    <r>
      <rPr>
        <sz val="10"/>
        <rFont val="Arial"/>
        <family val="2"/>
      </rPr>
      <t xml:space="preserve">The second and third arguments of the OFFSET function can be negative or positive.  A positive row offset defines a movement down the page and a negative offset is up the page.  A positive column offset is a movement to the right and a negative offset is a movement to the left. </t>
    </r>
  </si>
  <si>
    <t>Count number of codes starting with</t>
  </si>
  <si>
    <t>Count number of codes starting with:</t>
  </si>
  <si>
    <r>
      <t>&lt;- =LEFT(</t>
    </r>
    <r>
      <rPr>
        <sz val="10"/>
        <color indexed="57"/>
        <rFont val="Arial"/>
      </rPr>
      <t>A6</t>
    </r>
    <r>
      <rPr>
        <sz val="10"/>
        <rFont val="Arial"/>
      </rPr>
      <t>,1)=</t>
    </r>
    <r>
      <rPr>
        <sz val="10"/>
        <color indexed="52"/>
        <rFont val="Arial"/>
      </rPr>
      <t>$E$1</t>
    </r>
  </si>
  <si>
    <t>&lt;- =LEFT(A7,1)=$E$1</t>
  </si>
  <si>
    <t>&lt;- =LEFT(A8,1)=$E$1</t>
  </si>
  <si>
    <t>&lt;- =LEFT(A9,1)=$E$1</t>
  </si>
  <si>
    <t>&lt;- =LEFT(A10,1)=$E$1</t>
  </si>
  <si>
    <t>&lt;- =LEFT(A11,1)=$E$1</t>
  </si>
  <si>
    <t>&lt;- =LEFT(A12,1)=$E$1</t>
  </si>
  <si>
    <t>&lt;- =LEFT(A13,1)=$E$1</t>
  </si>
  <si>
    <r>
      <t>&lt;- =SUMPRODUCT(</t>
    </r>
    <r>
      <rPr>
        <sz val="10"/>
        <color indexed="10"/>
        <rFont val="Arial"/>
      </rPr>
      <t>B6:B13</t>
    </r>
    <r>
      <rPr>
        <sz val="10"/>
        <rFont val="Arial"/>
      </rPr>
      <t>*</t>
    </r>
    <r>
      <rPr>
        <sz val="10"/>
        <color indexed="12"/>
        <rFont val="Arial"/>
      </rPr>
      <t>F6:F13</t>
    </r>
    <r>
      <rPr>
        <sz val="10"/>
        <rFont val="Arial"/>
      </rPr>
      <t>)</t>
    </r>
  </si>
  <si>
    <r>
      <t>&lt;- =SUMPRODUCT((LEFT(</t>
    </r>
    <r>
      <rPr>
        <sz val="10"/>
        <color indexed="57"/>
        <rFont val="Arial"/>
      </rPr>
      <t>A6:A13</t>
    </r>
    <r>
      <rPr>
        <sz val="10"/>
        <rFont val="Arial"/>
      </rPr>
      <t>)=</t>
    </r>
    <r>
      <rPr>
        <sz val="10"/>
        <color indexed="52"/>
        <rFont val="Arial"/>
      </rPr>
      <t>$E$1</t>
    </r>
    <r>
      <rPr>
        <sz val="10"/>
        <rFont val="Arial"/>
      </rPr>
      <t>)*1)</t>
    </r>
  </si>
  <si>
    <t>The example below contains a list of product codes in column A in cells A6:A13.  We want to find the number of product codes starting with a particular letter.  That letter is specified by the user (i.e. you) in cell E1.</t>
  </si>
  <si>
    <t>ibook_assessment.php</t>
  </si>
  <si>
    <t>Cell A1 contains the logical test E1&lt;G1.  Logical tests involve comparing two quantities and determining whether they are equal to each other, or one is less than the other, one is greater than or equal to the other, and so on.  The result of the logical test is TRUE or FALSE.  The test in A1 is TRUE because E1 (5) is less than G1 (7).  The test in A3 is FALSE because E3 is not greater than G3.</t>
  </si>
  <si>
    <t>Dept-H</t>
  </si>
  <si>
    <t>Dept-Q</t>
  </si>
  <si>
    <r>
      <t>&lt;- =</t>
    </r>
    <r>
      <rPr>
        <sz val="10"/>
        <color indexed="57"/>
        <rFont val="Arial"/>
      </rPr>
      <t>E3</t>
    </r>
    <r>
      <rPr>
        <sz val="10"/>
        <rFont val="Arial"/>
      </rPr>
      <t>&lt;</t>
    </r>
    <r>
      <rPr>
        <sz val="10"/>
        <color indexed="52"/>
        <rFont val="Arial"/>
      </rPr>
      <t>G3</t>
    </r>
  </si>
  <si>
    <t>The items being compared in logical tests can be text ("strings").  This is illustrated in the following example.  Strings are compared on the basis of their alphabetical order.  So, for example, "London" is less than "Singapore".</t>
  </si>
  <si>
    <r>
      <t>&lt;- =</t>
    </r>
    <r>
      <rPr>
        <sz val="10"/>
        <color indexed="61"/>
        <rFont val="Arial"/>
      </rPr>
      <t>E5</t>
    </r>
    <r>
      <rPr>
        <sz val="10"/>
        <rFont val="Arial"/>
      </rPr>
      <t>&lt;</t>
    </r>
    <r>
      <rPr>
        <sz val="10"/>
        <color indexed="8"/>
        <rFont val="Arial"/>
      </rPr>
      <t>G5</t>
    </r>
  </si>
  <si>
    <t>It doesn't really make sense to compare numbers with strings and it's difficult to imagine why anyone would want to do this - but it can be done - as illustrated in the formula in A5 above.</t>
  </si>
  <si>
    <t>In the example below the IF statement's first argument is A1 &gt; C1.  A1 (5) is not greater than C1 (6) and so the test returns FALSE.</t>
  </si>
  <si>
    <t>The IF function takes three arguments.  The first describes a test or condition (which should return TRUE or FALSE).  If the first argument is true the IF statement returns its second argument and otherwise it returns the third argument.</t>
  </si>
  <si>
    <t>here</t>
  </si>
  <si>
    <t>In the illustration below we use an AND function to determine whether each number in the G column is "between" the numbers in the E and I columns.  Only on row 2 are both tests in the AND satisfied and so only on row 2 is G between E and I.</t>
  </si>
  <si>
    <t>The following interactive example relates to budgeting.  We want to know whether the actual figures in both 2008 and 2009 were within budget.  You can change the actual figures and observe whether the "Within budget" result is as you'd expect.</t>
  </si>
  <si>
    <t>The SUMPRODUCT function is one of the most powerful yet underutilised and underappreciated of the spreadsheet functions.  In this section we'll look at a range of applications of this function - ranging from quite simple to the more complex.
The most basic use of the SUMPRODUCT function is to multiply two rows (or columns) of numbers together and to add the resulting subtotals to give a grand total.</t>
  </si>
  <si>
    <r>
      <t>&lt;- =MATCH("A",</t>
    </r>
    <r>
      <rPr>
        <sz val="10"/>
        <color indexed="10"/>
        <rFont val="Arial"/>
      </rPr>
      <t>$C$2:$G$2</t>
    </r>
    <r>
      <rPr>
        <sz val="10"/>
        <rFont val="Arial"/>
      </rPr>
      <t>,0)</t>
    </r>
  </si>
  <si>
    <t>seasonalised</t>
  </si>
  <si>
    <t>extrapolate</t>
  </si>
  <si>
    <t>interpolate</t>
  </si>
  <si>
    <t>Show seasonalised future data</t>
  </si>
  <si>
    <t>Show seasonalised historic data</t>
  </si>
  <si>
    <t>Actual historic</t>
  </si>
  <si>
    <r>
      <t>Overview</t>
    </r>
    <r>
      <rPr>
        <sz val="10"/>
        <rFont val="Arial"/>
      </rPr>
      <t xml:space="preserve">
In seasonalising we determine patterns and trends in historic data.  We can then "back-fill" the actual historic data with seasonalised historic data to see how well the seasonalised data fits the historic.  We can also roll-forward the seasonalised data to predict future values.  An example is given below.</t>
    </r>
  </si>
  <si>
    <t>Formula</t>
  </si>
  <si>
    <t>Result</t>
  </si>
  <si>
    <t>=1/10 + 1/10000 -1/10</t>
  </si>
  <si>
    <t>RateSensitising</t>
  </si>
  <si>
    <t>fn_ABS</t>
  </si>
  <si>
    <t>fn_AVERAGE</t>
  </si>
  <si>
    <t>fn_COUNT</t>
  </si>
  <si>
    <t>fn_LEFT</t>
  </si>
  <si>
    <t>fn_MATCH</t>
  </si>
  <si>
    <t>fn_MAX</t>
  </si>
  <si>
    <t>fn_OR</t>
  </si>
  <si>
    <t>We need to add the position returned by the MATCH to the first year (less 1) to obtain the actual year in which the growth was positive "N" times.</t>
  </si>
  <si>
    <t>limit</t>
  </si>
  <si>
    <r>
      <t>&lt;- =MAX(</t>
    </r>
    <r>
      <rPr>
        <sz val="10"/>
        <color indexed="10"/>
        <rFont val="Arial"/>
      </rPr>
      <t>A2:B2</t>
    </r>
    <r>
      <rPr>
        <sz val="10"/>
        <rFont val="Arial"/>
      </rPr>
      <t>,</t>
    </r>
    <r>
      <rPr>
        <sz val="10"/>
        <color indexed="12"/>
        <rFont val="Arial"/>
      </rPr>
      <t>A4:C4</t>
    </r>
    <r>
      <rPr>
        <sz val="10"/>
        <rFont val="Arial"/>
      </rPr>
      <t>)</t>
    </r>
  </si>
  <si>
    <t>In the following example the CHOOSE function has four arguments.  The first argument is 2.  Since the first argument is 2 the CHOOSE function returns the second following argument.  The second following argument is A3:C3. So the CHOOSE function returns A3:C3.  A3:C3, in turn, is passed to the SUM function and the SUM function returns the sum of the values in that range (4 + 5 + 6 = 15).</t>
  </si>
  <si>
    <t>So now we can see the reason for the earlier #VALUE! error.  The error arose when the range returned by the CHOOSE function (A1:C1) didn't "fit" into the single cell we tried to put it in.</t>
  </si>
  <si>
    <r>
      <t>Overview</t>
    </r>
    <r>
      <rPr>
        <sz val="10"/>
        <rFont val="Arial"/>
        <family val="2"/>
      </rPr>
      <t xml:space="preserve">
The looking-up functions (VLOOKUP,  HLOOKUP and LOOKUP) accept a single "key" and search for that key in a table.  When the key is found a data item is retrieved from the table.  If the key isn't found then either an error is returned or the nearest match is used (depending on the lookup).  The following examples show applications of the VLOOKUP function.  In the first example we find a single entry in a two-dimensional table.  In  the second example we find the sum of entries that meet a defined two-D criterion.</t>
    </r>
  </si>
  <si>
    <t>Overview</t>
  </si>
  <si>
    <t>Example of a rounding issue</t>
  </si>
  <si>
    <r>
      <t xml:space="preserve">The results differ in the eighteenth decimal place.  Such differences can occur because spreadsheets store decimal fractions only to a finite accuracy and not to an infinite accuracy.
Arithmetic "errors" like the above can accumulate in calculations.  Often these effects are benign but on occasion they can cause LOOKUPs, IF statements and the like to "fail" (i.e. to give unexpected results).
For example, if you were to use an IF statement to test whether formulae A and B above were equal the IF statement would say A and B </t>
    </r>
    <r>
      <rPr>
        <b/>
        <sz val="10"/>
        <rFont val="Arial"/>
        <family val="2"/>
      </rPr>
      <t>are not equal</t>
    </r>
    <r>
      <rPr>
        <sz val="10"/>
        <rFont val="Arial"/>
        <family val="2"/>
      </rPr>
      <t xml:space="preserve"> (as shown below).</t>
    </r>
  </si>
  <si>
    <t>LOOKUP</t>
  </si>
  <si>
    <t>Pro rated</t>
  </si>
  <si>
    <t>A has highest through to E - lowest</t>
  </si>
  <si>
    <t>CHOOSE function</t>
  </si>
  <si>
    <t>In the following example the CHOOSE function's first argument is 1.  So the first following argument (i.e. the second - A1) is returned.</t>
  </si>
  <si>
    <t>AND, IF, ISNA, LEFT, LEN, MATCH, MAX, MOD, OFFSET, OR, ROW, VLOOKUP</t>
  </si>
  <si>
    <t>In increasing order</t>
  </si>
  <si>
    <t>Quantity</t>
  </si>
  <si>
    <t>In the example below we hold a "portfolio" of three types of units.  Each unit has a quantity and unit price.  The quantities are in column B and the prices are in column C.  The SUMPRODUCT function in cell E1 calculates the value of our portfolio.</t>
  </si>
  <si>
    <t>SUMPRODUCT working with 0s and 1s</t>
  </si>
  <si>
    <t>Cell A2 contains the value TRUE.  Cell B2 contains the formula =A2+1.  Since cell B2 returns 2 we can conclude that the spreadsheet interprets TRUE as being the same as 1.</t>
  </si>
  <si>
    <t>Submit suggestions for improving or feedback about this guide.</t>
  </si>
  <si>
    <t>We specialise in presenting one and two day finance / technical workshops</t>
  </si>
  <si>
    <t>Learn the objectives, principles and methods of financial modelling by attending our financial modelling workshop</t>
  </si>
  <si>
    <t>Our financial modelling course shows the essential building blocks of efficient and well-presented financial models</t>
  </si>
  <si>
    <t>Our financial modelling course covers the finance and accounting concepts that underlay financial modelling</t>
  </si>
  <si>
    <t>XNPV gives a different answer if cells are blank than when they contain zero - these and other "traps" are explained in our workshops</t>
  </si>
  <si>
    <t>Our modelling and spreadsheet skills courses can be done in one or two day modules.</t>
  </si>
  <si>
    <t>Our modelling and spreadsheet skills courses cover both core and extended spreadsheet and finance topics.</t>
  </si>
  <si>
    <t>Learn how to choose the best function to solve a problem when several functions are available by attending one of our workshops.</t>
  </si>
  <si>
    <t>Our workshops cover techniques to perform complex calculations in a single cell that would otherwise take many cells to do.</t>
  </si>
  <si>
    <t>Our workshops review the finance principles and assumptions underlying the main spreadsheet financial functions.</t>
  </si>
  <si>
    <t>Learn how to use iteration, goal-seeking, the solver and optimisation to solve problems that are too complex to solve in a single step.</t>
  </si>
  <si>
    <t>Review how financial statements can be modelled in spreadsheets - attend one of our workshops</t>
  </si>
  <si>
    <t>Learn how Visual Basic functions can be written and accessed from spreadsheet formulae - attend one of our workshops</t>
  </si>
  <si>
    <t xml:space="preserve">Consider the COUNTIF function in cell E4.  Its first argument - C2:H2 - describes the range of cells that will be counted.  These cells contain the list of performance levels.  The second argument describes the counting criterion:  We want to count "A" performances.  There are two ways of specifying the criterion.  The first way is to have the criterion as "A" (as used in E4) or as "=A" as shown in E6.  </t>
  </si>
  <si>
    <t>The COUNTIF function returns the number of "A" performances (1).</t>
  </si>
  <si>
    <t>Increase work efficiency by making shortcuts for common tasks</t>
  </si>
  <si>
    <t>Customize Microsoft Office products to your needs by extending or changing those products' functionality</t>
  </si>
  <si>
    <t>Integrate workflows across Microsoft Office applications</t>
  </si>
  <si>
    <t>Increase the "wow-factor" of your developed applications</t>
  </si>
  <si>
    <t>Visual Basic Workshop</t>
  </si>
  <si>
    <t>About Visual Basic</t>
  </si>
  <si>
    <t>ROUND</t>
  </si>
  <si>
    <t>Shows how accumulation of rounding effects can cause errors and what can be done about it</t>
  </si>
  <si>
    <t>Stepped interpolation (as is done by LOOKUP, VLOOKUP and HLOOKUP)</t>
  </si>
  <si>
    <t>Piecewise linear interpolation.  A combination of functions is needed to achieve this.</t>
  </si>
  <si>
    <t>In the following example the CHOOSE function's first argument is 2.  So the second following argument (i.e. the third - C1) is returned.</t>
  </si>
  <si>
    <t>In the example below the SUMPRODUCT function multiplies each of the quantities in cells B2:B4 by the corresponding unit prices in cells C2:C4 and then adds the individual results to form a "grand total".</t>
  </si>
  <si>
    <t>March</t>
  </si>
  <si>
    <t>April</t>
  </si>
  <si>
    <t>June</t>
  </si>
  <si>
    <t>July</t>
  </si>
  <si>
    <t>August</t>
  </si>
  <si>
    <t>September</t>
  </si>
  <si>
    <t>October</t>
  </si>
  <si>
    <t>November</t>
  </si>
  <si>
    <t>December</t>
  </si>
  <si>
    <r>
      <t>&lt;- =LEFT(</t>
    </r>
    <r>
      <rPr>
        <sz val="10"/>
        <color indexed="10"/>
        <rFont val="Arial"/>
      </rPr>
      <t>A1</t>
    </r>
    <r>
      <rPr>
        <sz val="10"/>
        <rFont val="Arial"/>
      </rPr>
      <t>,3)</t>
    </r>
  </si>
  <si>
    <t>&lt;- =LEFT(A2,3)</t>
  </si>
  <si>
    <t>&lt;- =LEFT(A3,3)</t>
  </si>
  <si>
    <t>&lt;- =LEFT(A4,3)</t>
  </si>
  <si>
    <t>&lt;- =LEFT(A5,3)</t>
  </si>
  <si>
    <t>&lt;- =LEFT(A6,3)</t>
  </si>
  <si>
    <t>&lt;- =LEFT(A7,3)</t>
  </si>
  <si>
    <t>&lt;- =LEFT(A8,3)</t>
  </si>
  <si>
    <t>&lt;- =LEFT(A9,3)</t>
  </si>
  <si>
    <t>&lt;- =LEFT(A10,3)</t>
  </si>
  <si>
    <t>&lt;- =LEFT(A11,3)</t>
  </si>
  <si>
    <t>&lt;- =LEFT(A12,3)</t>
  </si>
  <si>
    <t>F234</t>
  </si>
  <si>
    <t>G123</t>
  </si>
  <si>
    <t>E435</t>
  </si>
  <si>
    <t>A011</t>
  </si>
  <si>
    <t>F120</t>
  </si>
  <si>
    <t>G230</t>
  </si>
  <si>
    <t>C111</t>
  </si>
  <si>
    <t>B012</t>
  </si>
  <si>
    <t>Complex counting</t>
  </si>
  <si>
    <t>Grouped transactions</t>
  </si>
  <si>
    <t>From</t>
  </si>
  <si>
    <t>to</t>
  </si>
  <si>
    <t>Raw transactions</t>
  </si>
  <si>
    <r>
      <t>&lt;- =SUMPRODUCT((</t>
    </r>
    <r>
      <rPr>
        <sz val="10"/>
        <color indexed="10"/>
        <rFont val="Arial"/>
      </rPr>
      <t>$B$2:$L$2</t>
    </r>
    <r>
      <rPr>
        <sz val="10"/>
        <rFont val="Arial"/>
      </rPr>
      <t>&gt;=</t>
    </r>
    <r>
      <rPr>
        <sz val="10"/>
        <color indexed="12"/>
        <rFont val="Arial"/>
      </rPr>
      <t>A7</t>
    </r>
    <r>
      <rPr>
        <sz val="10"/>
        <rFont val="Arial"/>
      </rPr>
      <t>)*(</t>
    </r>
    <r>
      <rPr>
        <sz val="10"/>
        <color indexed="10"/>
        <rFont val="Arial"/>
      </rPr>
      <t>$B$2:$L$2</t>
    </r>
    <r>
      <rPr>
        <sz val="10"/>
        <rFont val="Arial"/>
      </rPr>
      <t>&lt;=</t>
    </r>
    <r>
      <rPr>
        <sz val="10"/>
        <color indexed="57"/>
        <rFont val="Arial"/>
      </rPr>
      <t>B7</t>
    </r>
    <r>
      <rPr>
        <sz val="10"/>
        <rFont val="Arial"/>
      </rPr>
      <t>)*(</t>
    </r>
    <r>
      <rPr>
        <sz val="10"/>
        <color indexed="52"/>
        <rFont val="Arial"/>
      </rPr>
      <t>$B$3:$L$3</t>
    </r>
    <r>
      <rPr>
        <sz val="10"/>
        <rFont val="Arial"/>
      </rPr>
      <t>))</t>
    </r>
  </si>
  <si>
    <t>Unit price</t>
  </si>
  <si>
    <t>Unit code</t>
  </si>
  <si>
    <t>BHP</t>
  </si>
  <si>
    <t>RIO</t>
  </si>
  <si>
    <t>ANZ</t>
  </si>
  <si>
    <r>
      <t>&lt;- =SUMPRODUCT(</t>
    </r>
    <r>
      <rPr>
        <sz val="10"/>
        <color indexed="10"/>
        <rFont val="Arial"/>
      </rPr>
      <t>B2:B4</t>
    </r>
    <r>
      <rPr>
        <sz val="10"/>
        <rFont val="Arial"/>
      </rPr>
      <t>,</t>
    </r>
    <r>
      <rPr>
        <sz val="10"/>
        <color indexed="12"/>
        <rFont val="Arial"/>
      </rPr>
      <t>C2:C4</t>
    </r>
    <r>
      <rPr>
        <sz val="10"/>
        <rFont val="Arial"/>
      </rPr>
      <t>)</t>
    </r>
  </si>
  <si>
    <r>
      <t>&lt;- =</t>
    </r>
    <r>
      <rPr>
        <sz val="10"/>
        <color indexed="10"/>
        <rFont val="Arial"/>
      </rPr>
      <t>A2</t>
    </r>
    <r>
      <rPr>
        <sz val="10"/>
        <rFont val="Arial"/>
      </rPr>
      <t>+1</t>
    </r>
  </si>
  <si>
    <r>
      <t>&lt;- =</t>
    </r>
    <r>
      <rPr>
        <sz val="10"/>
        <color indexed="12"/>
        <rFont val="Arial"/>
      </rPr>
      <t>A4</t>
    </r>
    <r>
      <rPr>
        <sz val="10"/>
        <rFont val="Arial"/>
      </rPr>
      <t>+1</t>
    </r>
  </si>
  <si>
    <r>
      <t>&lt;- =SUMPRODUCT(</t>
    </r>
    <r>
      <rPr>
        <sz val="10"/>
        <color indexed="10"/>
        <rFont val="Arial"/>
      </rPr>
      <t>A2:A5</t>
    </r>
    <r>
      <rPr>
        <sz val="10"/>
        <rFont val="Arial"/>
      </rPr>
      <t>,</t>
    </r>
    <r>
      <rPr>
        <sz val="10"/>
        <color indexed="12"/>
        <rFont val="Arial"/>
      </rPr>
      <t>B2:B5</t>
    </r>
    <r>
      <rPr>
        <sz val="10"/>
        <rFont val="Arial"/>
      </rPr>
      <t>)</t>
    </r>
  </si>
  <si>
    <r>
      <t>&lt;- =SUMPRODUCT(</t>
    </r>
    <r>
      <rPr>
        <sz val="10"/>
        <color indexed="10"/>
        <rFont val="Arial"/>
      </rPr>
      <t>A2:A5</t>
    </r>
    <r>
      <rPr>
        <sz val="10"/>
        <rFont val="Arial"/>
      </rPr>
      <t>*</t>
    </r>
    <r>
      <rPr>
        <sz val="10"/>
        <color indexed="12"/>
        <rFont val="Arial"/>
      </rPr>
      <t>B2:B5</t>
    </r>
    <r>
      <rPr>
        <sz val="10"/>
        <rFont val="Arial"/>
      </rPr>
      <t>)</t>
    </r>
  </si>
  <si>
    <t>Within budget</t>
  </si>
  <si>
    <t>The following example is interactive.  You can choose a performance level and the example will report: 1) The number of times that performance has occurred, 2) the number of times that performance or worse has occurred, and 3) the number of times that performance or better has occurred.</t>
  </si>
  <si>
    <t>Concatenation operator</t>
  </si>
  <si>
    <t>used with COUNTIF</t>
  </si>
  <si>
    <t>with concatenation operator</t>
  </si>
  <si>
    <r>
      <t>&lt;- =AND(</t>
    </r>
    <r>
      <rPr>
        <sz val="10"/>
        <color indexed="10"/>
        <rFont val="Arial"/>
      </rPr>
      <t>A1</t>
    </r>
    <r>
      <rPr>
        <sz val="10"/>
        <rFont val="Arial"/>
      </rPr>
      <t>,</t>
    </r>
    <r>
      <rPr>
        <sz val="10"/>
        <color indexed="12"/>
        <rFont val="Arial"/>
      </rPr>
      <t>C1</t>
    </r>
    <r>
      <rPr>
        <sz val="10"/>
        <rFont val="Arial"/>
      </rPr>
      <t>,</t>
    </r>
    <r>
      <rPr>
        <sz val="10"/>
        <color indexed="57"/>
        <rFont val="Arial"/>
      </rPr>
      <t>E1</t>
    </r>
    <r>
      <rPr>
        <sz val="10"/>
        <rFont val="Arial"/>
      </rPr>
      <t>)</t>
    </r>
  </si>
  <si>
    <t>Following is an interactive example.  You can set A1, C1 and E1 to TRUE or FALSE.  The AND function in A4 will return TRUE only when A1, C1 and E1 are all TRUE.</t>
  </si>
  <si>
    <t>In the example above the arguments to the AND function are explicitly TRUE or FALSE.  In practice the TRUE and FALSE arguments will be the result of logical tests or conditions - as illustrated in the example below.</t>
  </si>
  <si>
    <r>
      <t>&lt;- =IF(ISNA(VLOOKUP(</t>
    </r>
    <r>
      <rPr>
        <sz val="10"/>
        <color indexed="10"/>
        <rFont val="Arial"/>
      </rPr>
      <t>B5</t>
    </r>
    <r>
      <rPr>
        <sz val="10"/>
        <rFont val="Arial"/>
      </rPr>
      <t>,</t>
    </r>
    <r>
      <rPr>
        <sz val="10"/>
        <color indexed="12"/>
        <rFont val="Arial"/>
      </rPr>
      <t>G2:I6</t>
    </r>
    <r>
      <rPr>
        <sz val="10"/>
        <rFont val="Arial"/>
      </rPr>
      <t>,2,FALSE)),"no match", VLOOKUP(</t>
    </r>
    <r>
      <rPr>
        <sz val="10"/>
        <color indexed="10"/>
        <rFont val="Arial"/>
      </rPr>
      <t>B5</t>
    </r>
    <r>
      <rPr>
        <sz val="10"/>
        <rFont val="Arial"/>
      </rPr>
      <t>,</t>
    </r>
    <r>
      <rPr>
        <sz val="10"/>
        <color indexed="12"/>
        <rFont val="Arial"/>
      </rPr>
      <t>G2:I6</t>
    </r>
    <r>
      <rPr>
        <sz val="10"/>
        <rFont val="Arial"/>
      </rPr>
      <t>,2,FALSE))</t>
    </r>
  </si>
  <si>
    <t>Lookup status</t>
  </si>
  <si>
    <r>
      <t>&lt;- =ISNA(</t>
    </r>
    <r>
      <rPr>
        <sz val="10"/>
        <color indexed="57"/>
        <rFont val="Arial"/>
      </rPr>
      <t>B2</t>
    </r>
    <r>
      <rPr>
        <sz val="10"/>
        <rFont val="Arial"/>
      </rPr>
      <t>)</t>
    </r>
  </si>
  <si>
    <r>
      <t>&lt;- =ISNA(</t>
    </r>
    <r>
      <rPr>
        <sz val="10"/>
        <color indexed="52"/>
        <rFont val="Arial"/>
      </rPr>
      <t>B4</t>
    </r>
    <r>
      <rPr>
        <sz val="10"/>
        <rFont val="Arial"/>
      </rPr>
      <t>)</t>
    </r>
  </si>
  <si>
    <r>
      <t>&lt;- =VLOOKUP(</t>
    </r>
    <r>
      <rPr>
        <sz val="10"/>
        <color indexed="10"/>
        <rFont val="Arial"/>
      </rPr>
      <t>A2</t>
    </r>
    <r>
      <rPr>
        <sz val="10"/>
        <rFont val="Arial"/>
      </rPr>
      <t>,</t>
    </r>
    <r>
      <rPr>
        <sz val="10"/>
        <color indexed="12"/>
        <rFont val="Arial"/>
      </rPr>
      <t>J2:K6</t>
    </r>
    <r>
      <rPr>
        <sz val="10"/>
        <rFont val="Arial"/>
      </rPr>
      <t>,2,FALSE)</t>
    </r>
  </si>
  <si>
    <r>
      <t>&lt;- =VLOOKUP(</t>
    </r>
    <r>
      <rPr>
        <sz val="10"/>
        <color indexed="10"/>
        <rFont val="Arial"/>
      </rPr>
      <t>A4</t>
    </r>
    <r>
      <rPr>
        <sz val="10"/>
        <rFont val="Arial"/>
      </rPr>
      <t>,</t>
    </r>
    <r>
      <rPr>
        <sz val="10"/>
        <color indexed="12"/>
        <rFont val="Arial"/>
      </rPr>
      <t>J2:K6</t>
    </r>
    <r>
      <rPr>
        <sz val="10"/>
        <rFont val="Arial"/>
      </rPr>
      <t>,2,FALSE)</t>
    </r>
  </si>
  <si>
    <t>The ISNA function is often used to detect whether lookups have "failed".  Failed lookups are those in which the item being looked for isn't found.  We'll illustrate how ISNA works by considering an example in which we perform a lookup on a table containing departmental information.</t>
  </si>
  <si>
    <t xml:space="preserve">In cell B2 we do a lookup of the table to find the number of staff in Department A.  The VLOOKUP function in  B2 works this way:  </t>
  </si>
  <si>
    <t xml:space="preserve">[For more information on the VLOOKUP function click </t>
  </si>
  <si>
    <t>]</t>
  </si>
  <si>
    <t>The lookup in B2 succeeds and returns the number of staff for Department A.  Now consider the lookup in cell B4.  That lookup fails because C - the department code being looked for - isn't in the department table.</t>
  </si>
  <si>
    <t>Interest (or discount) rates are fundamental in finance for they "tie together" the present and future values of money.  Interest rates can be "flat" (e.g. interest rate on a 2 year loadn = interest rate on a 5 year loan) or they can be "curved" - have a term structure in other words.</t>
  </si>
  <si>
    <t xml:space="preserve">The following example relates to interest rates that have a term structure.  Three types of calculations are done: </t>
  </si>
  <si>
    <t>One by one points on the rate curve are increased by 1%.  The cash flows are revalued using the changed rate points. This gives the sensitivity of the present value of the cash flows to each point in the rate curve.</t>
  </si>
  <si>
    <r>
      <t xml:space="preserve">Overiew
</t>
    </r>
    <r>
      <rPr>
        <sz val="10"/>
        <rFont val="Arial"/>
        <family val="2"/>
      </rPr>
      <t>The IF function is one of the most important in spreadsheets as it allows you to customise calculations according to various criteria or contexts.  One application of the IF function is to determine whether limits / thresholds  or barriers are crossed.  And that is the purpose of the following exercise.</t>
    </r>
  </si>
  <si>
    <t>Interest rates - Interpolating / valuing using / determining sensitivity to</t>
  </si>
  <si>
    <t>We'll look at an example in which one of three results ('greater", "less", and "equal") is to be returned.</t>
  </si>
  <si>
    <r>
      <t>&lt;- =IF(</t>
    </r>
    <r>
      <rPr>
        <sz val="10"/>
        <color indexed="10"/>
        <rFont val="Arial"/>
      </rPr>
      <t>A3</t>
    </r>
    <r>
      <rPr>
        <sz val="10"/>
        <rFont val="Arial"/>
      </rPr>
      <t>&gt;</t>
    </r>
    <r>
      <rPr>
        <sz val="10"/>
        <color indexed="12"/>
        <rFont val="Arial"/>
      </rPr>
      <t>B3</t>
    </r>
    <r>
      <rPr>
        <sz val="10"/>
        <rFont val="Arial"/>
      </rPr>
      <t>,"greater",IF(</t>
    </r>
    <r>
      <rPr>
        <sz val="10"/>
        <color indexed="10"/>
        <rFont val="Arial"/>
      </rPr>
      <t>A3</t>
    </r>
    <r>
      <rPr>
        <sz val="10"/>
        <rFont val="Arial"/>
      </rPr>
      <t>=</t>
    </r>
    <r>
      <rPr>
        <sz val="10"/>
        <color indexed="12"/>
        <rFont val="Arial"/>
      </rPr>
      <t>B3</t>
    </r>
    <r>
      <rPr>
        <sz val="10"/>
        <rFont val="Arial"/>
      </rPr>
      <t>,"equal","less"))</t>
    </r>
  </si>
  <si>
    <r>
      <t>&lt;- =IF(</t>
    </r>
    <r>
      <rPr>
        <sz val="10"/>
        <color indexed="10"/>
        <rFont val="Arial"/>
      </rPr>
      <t>A5</t>
    </r>
    <r>
      <rPr>
        <sz val="10"/>
        <rFont val="Arial"/>
      </rPr>
      <t>&gt;</t>
    </r>
    <r>
      <rPr>
        <sz val="10"/>
        <color indexed="12"/>
        <rFont val="Arial"/>
      </rPr>
      <t>B5</t>
    </r>
    <r>
      <rPr>
        <sz val="10"/>
        <rFont val="Arial"/>
      </rPr>
      <t>,"greater",IF(</t>
    </r>
    <r>
      <rPr>
        <sz val="10"/>
        <color indexed="10"/>
        <rFont val="Arial"/>
      </rPr>
      <t>A5</t>
    </r>
    <r>
      <rPr>
        <sz val="10"/>
        <rFont val="Arial"/>
      </rPr>
      <t>=</t>
    </r>
    <r>
      <rPr>
        <sz val="10"/>
        <color indexed="12"/>
        <rFont val="Arial"/>
      </rPr>
      <t>B5</t>
    </r>
    <r>
      <rPr>
        <sz val="10"/>
        <rFont val="Arial"/>
      </rPr>
      <t>,"equal","less"))</t>
    </r>
  </si>
  <si>
    <r>
      <t>&lt;- =IF(</t>
    </r>
    <r>
      <rPr>
        <sz val="10"/>
        <color indexed="10"/>
        <rFont val="Arial"/>
      </rPr>
      <t>A7</t>
    </r>
    <r>
      <rPr>
        <sz val="10"/>
        <rFont val="Arial"/>
      </rPr>
      <t>&gt;</t>
    </r>
    <r>
      <rPr>
        <sz val="10"/>
        <color indexed="12"/>
        <rFont val="Arial"/>
      </rPr>
      <t>B7</t>
    </r>
    <r>
      <rPr>
        <sz val="10"/>
        <rFont val="Arial"/>
      </rPr>
      <t>,"greater",IF(</t>
    </r>
    <r>
      <rPr>
        <sz val="10"/>
        <color indexed="10"/>
        <rFont val="Arial"/>
      </rPr>
      <t>A7</t>
    </r>
    <r>
      <rPr>
        <sz val="10"/>
        <rFont val="Arial"/>
      </rPr>
      <t>=</t>
    </r>
    <r>
      <rPr>
        <sz val="10"/>
        <color indexed="12"/>
        <rFont val="Arial"/>
      </rPr>
      <t>B7</t>
    </r>
    <r>
      <rPr>
        <sz val="10"/>
        <rFont val="Arial"/>
      </rPr>
      <t>,"equal","less"))</t>
    </r>
  </si>
  <si>
    <t>Look at the formula in C3 below.  The IF function in that formula makes the test A3&gt;B3.  A3 is 7 and B3 is 6.  So the test is TRUE.  Since the test is true the second argument of the IF function ("greater") is returned.</t>
  </si>
  <si>
    <t>The following example is an interactive version of the one above.</t>
  </si>
  <si>
    <r>
      <t>&lt;- =IF(</t>
    </r>
    <r>
      <rPr>
        <sz val="10"/>
        <color indexed="10"/>
        <rFont val="Arial"/>
      </rPr>
      <t>A1</t>
    </r>
    <r>
      <rPr>
        <sz val="10"/>
        <rFont val="Arial"/>
      </rPr>
      <t>&gt;</t>
    </r>
    <r>
      <rPr>
        <sz val="10"/>
        <color indexed="12"/>
        <rFont val="Arial"/>
      </rPr>
      <t>C1</t>
    </r>
    <r>
      <rPr>
        <sz val="10"/>
        <rFont val="Arial"/>
      </rPr>
      <t>,"greater","less or equal")</t>
    </r>
  </si>
  <si>
    <t>Nested or compound IF functions</t>
  </si>
  <si>
    <t>Value 1</t>
  </si>
  <si>
    <t>Value 2</t>
  </si>
  <si>
    <t>Test</t>
  </si>
  <si>
    <t>=1/10 - 1/10 + 1/10000</t>
  </si>
  <si>
    <t>Rounding</t>
  </si>
  <si>
    <t>=IF(1/10 + 1/10000 - 1/10 = 1/10 - 1/10 + 1/10000, "Same",</t>
  </si>
  <si>
    <t>Visual Basic is not used in any of the examples in this spreadsheet.  However, if you are interested in some examples of Visual Basic's application or wish to enrol on a Visual Basic workshop please visit the following web site:</t>
  </si>
  <si>
    <t xml:space="preserve">In the following example we want to find the averages of a history of data points.  The oldest data point is in cell B4 (its value is 100).  The most recent data point is in cell B9 (its value is 80).  We want to generate a series of averaged values in column D.  We want the user to be able to select a two, three or four day averaging period by making a selection in cell C1. </t>
  </si>
  <si>
    <t>How does the preceding example work?  Suppose we're averaging over two days and are calculating the average value for row 7.  To do that we need to find the average of the data points on rows 6 and 7.  If we wanted averaging over three days we'd need to average the data on rows 5, 6 and 7.  In other words, to find the average "today" over N days we need to average from "today" and back N-1 days.</t>
  </si>
  <si>
    <t>In the example above "B" isn't in the search column of the lookup table (i.e it's not in column G) and a #N/A error is returned.
We can specify that, if the lookup doesn't find exactly what we specified, it returns the "nearest" it can find rather than an error.  To do that we set the fourth argument to TRUE (or leave it out altogether).</t>
  </si>
  <si>
    <t>Spreadsheet Skills and Modelling</t>
  </si>
  <si>
    <t>The fourth argument of the VLOOKUP is optional.  In our example the argument's value is FALSE.  FALSE tells VLOOKUP to find an exact match for the item being looked for.  If the item being looked for isn't found VLOOKUP will return an error.  An example of this is shown next.</t>
  </si>
  <si>
    <t>To allow the reader to master some of the most important spreadsheet functions.  The guide explains how important functions work and gives examples of how they can be used.</t>
  </si>
  <si>
    <t>Individual spreadsheet functions - as described in the preceding chapter - serve specific and usually simple purposes.  But what if we want to do something that an individual function can't?  Then we need to combine two or more functions - in effect to design a "super-function".  The more functions you need to combine - the harder this is to do.  In this chapter we take first steps in this design process - by combining two or three functions to build "mini-applications".</t>
  </si>
  <si>
    <r>
      <t>Overview</t>
    </r>
    <r>
      <rPr>
        <sz val="10"/>
        <rFont val="Arial"/>
      </rPr>
      <t xml:space="preserve">
Below is a cross reference showing the spreadsheet functions and features used in each of the examples in this chapter  Several interesting observations can be made from the information in the cross reference:</t>
    </r>
    <r>
      <rPr>
        <b/>
        <sz val="10"/>
        <rFont val="Arial"/>
        <family val="2"/>
      </rPr>
      <t/>
    </r>
  </si>
  <si>
    <t>At the end of the chapter is a cross reference that lists the spreadsheet functions and features used in the earlier examples. The cross reference shows that even quite complex applications often use only a small number of spreadsheet functions (an average of eight - in our examples).  Across all of the examples in this chapter seven out of nine spreadsheet functions are never used.   Important insights flow from this:  1) Mastery of spreadsheets requires knowledge about a relatively small subset of spreadsheet functions, 2) Most other functions can be ignored.</t>
  </si>
  <si>
    <r>
      <t>Overview</t>
    </r>
    <r>
      <rPr>
        <sz val="10"/>
        <rFont val="Arial"/>
      </rPr>
      <t xml:space="preserve">
In ranking a set of items we need to define a "measure".  The measure allows us to compare one item with another and to say which ranks higher.  In the following example data is ranked according to three different criteria.</t>
    </r>
  </si>
  <si>
    <t>[For an example of the AVERAGE function used with the OFFSET function click here]</t>
  </si>
  <si>
    <t>[For an example of an application that uses AVERAGE click here]</t>
  </si>
  <si>
    <t>In cell D8 we report on the maximum amount by which a department was over budget.  In this case the answer is 4.  Whilst that figure is correct and resonable, for other sets of departmental figures, the figure may not be appropriate.  Consider the example following.  It is the same as the one above except that the actual expenses differ.</t>
  </si>
  <si>
    <t>Where would you use an ABS function?  We'll look at an example to do with calculating buying and selling commissions.  In the illustration below we will calculate a brokerage fee to pay on a sale of $300,000.  We will use a convention whereby cash coming in is a positive number and cash going out is negative.  Because we are selling something that will be cash coming in and so we'll represent that as a positive number.
In cell D2 is the brokerage fee of 2% and in D4 is the transaction we're making - a sale of $300,000.  If the number in D4 is positive that will represent a sale and if the number is negative that will represent a purchase.</t>
  </si>
  <si>
    <t>The brokerage calculation is in cell D6.  The brokerage is calculated by multiplying the brokerage percentage fee by the amount of the sale or purchase.  Both the percentage fee and the sale amount are positive numbers. But since the brokerage fee is a cash outgoing we need to make that negative.  So there is a negative sign at the front of the formula in D6.</t>
  </si>
  <si>
    <r>
      <t>[Cell E6 is a comment.  It shows the formula in the cell to its left.  So by looking at cell E6 we can tell that the formula in D6 is -</t>
    </r>
    <r>
      <rPr>
        <i/>
        <sz val="10"/>
        <color indexed="10"/>
        <rFont val="Arial"/>
        <family val="2"/>
      </rPr>
      <t>D2</t>
    </r>
    <r>
      <rPr>
        <i/>
        <sz val="10"/>
        <rFont val="Arial"/>
        <family val="2"/>
      </rPr>
      <t>*</t>
    </r>
    <r>
      <rPr>
        <i/>
        <sz val="10"/>
        <color indexed="12"/>
        <rFont val="Arial"/>
        <family val="2"/>
      </rPr>
      <t>D4</t>
    </r>
    <r>
      <rPr>
        <i/>
        <sz val="10"/>
        <rFont val="Arial"/>
        <family val="2"/>
      </rPr>
      <t>.  You'll notice the D2 and D4 cells in the E6 formula are colour coded.  The cells E6 refers to are also colour coded with coloured borders: Cell D2 has a red border and D4 has a blue border.  The colour coding makes it easy to see which cells in the spreadsheet a formula refers to.]</t>
    </r>
  </si>
  <si>
    <r>
      <t xml:space="preserve">Suppose we now use our spreadsheet to calculate the brokerage on a </t>
    </r>
    <r>
      <rPr>
        <b/>
        <u/>
        <sz val="10"/>
        <rFont val="Arial"/>
        <family val="2"/>
      </rPr>
      <t>purchase</t>
    </r>
    <r>
      <rPr>
        <sz val="10"/>
        <rFont val="Arial"/>
      </rPr>
      <t xml:space="preserve"> of $400,000.  The number in D4 is now negative since a purchase is a cash outlay.</t>
    </r>
  </si>
  <si>
    <t>Attend one of our workshops and learn how to use a wide range of spreadsheet functions in practical finance settings</t>
  </si>
  <si>
    <r>
      <t>Overview</t>
    </r>
    <r>
      <rPr>
        <sz val="10"/>
        <rFont val="Arial"/>
      </rPr>
      <t xml:space="preserve">
Activities and events often proceed in a certain order.  In spreadsheets the order of activities and events can be set in various ways:  1) By "hard-coding" them on a fixed timeline, 2) by using formulae to define prerequisites (e.g. event B in row 26 depends on event A in row 25), 3) in the way shown below.  The example below implements a dynamic way of defining event dependencies and durations.  In the example below a task can proceed only when its "prerequisite" has completed.
</t>
    </r>
  </si>
  <si>
    <t>An interest rate curve is constructed by interpolating from four given points.</t>
  </si>
  <si>
    <t>A series of cash flows are valued using the interpolated rate structure.</t>
  </si>
  <si>
    <t>In the first example claim A has the highest priority and claim B cannot be dealt with until a defined amount has been allocated to A.  Similarly claims B through E can be serviced only when the prior and higher-ranking claims have been honored.  In the second example available funds are "pro-rata'd" across all claims.</t>
  </si>
  <si>
    <r>
      <t>Overview</t>
    </r>
    <r>
      <rPr>
        <sz val="10"/>
        <rFont val="Arial"/>
      </rPr>
      <t xml:space="preserve">
A dollar used for one purpose cannot be used for another.  So a common finance task is allocating funds to competing purposes.  A prioritising or ranking or allocating mechanism is needed to ensure each dollar is most appropriately applied.  There are many possible allocation mechanisms.  The examples below illustrate two.  In each example there are five "claims" or "needs" (A through E). </t>
    </r>
  </si>
  <si>
    <r>
      <t xml:space="preserve">Overview
</t>
    </r>
    <r>
      <rPr>
        <sz val="10"/>
        <rFont val="Arial"/>
        <family val="2"/>
      </rPr>
      <t>Spreadsheets (and computers generally) represent decimal numbers only to a finite accuracy.  This can cause arithmetic and logical errors.  We can deal with these errors by using rounding functions.</t>
    </r>
  </si>
  <si>
    <r>
      <t xml:space="preserve">This example is built on three levels.  The lowest level is concerned with </t>
    </r>
    <r>
      <rPr>
        <b/>
        <sz val="10"/>
        <rFont val="Arial"/>
        <family val="2"/>
      </rPr>
      <t>valuing</t>
    </r>
    <r>
      <rPr>
        <sz val="10"/>
        <rFont val="Arial"/>
      </rPr>
      <t xml:space="preserve"> an enterprise based on a number of assumptions.  The enterprise is valued on the basis of finding the present value of the free (i.e. available) cash flows it is expected to generate.</t>
    </r>
  </si>
  <si>
    <r>
      <t xml:space="preserve">The middle level consists of a number of </t>
    </r>
    <r>
      <rPr>
        <b/>
        <sz val="10"/>
        <rFont val="Arial"/>
        <family val="2"/>
      </rPr>
      <t>scenarios</t>
    </r>
    <r>
      <rPr>
        <sz val="10"/>
        <rFont val="Arial"/>
      </rPr>
      <t>.  Each scenario differs in its individual assumptions and each scenario generates an associated enterprise value.</t>
    </r>
  </si>
  <si>
    <r>
      <t>Overview</t>
    </r>
    <r>
      <rPr>
        <sz val="10"/>
        <rFont val="Arial"/>
      </rPr>
      <t xml:space="preserve">
This example is built on two levels.  The lower level is concerned with valuing an enterprise based on a number of assumptions.  The enterprise is valued on the basis of finding the present value of the free (i.e. available) cash flows it is expected to generate.
</t>
    </r>
  </si>
  <si>
    <t>The upper level determines the sensitivity of a nominated output (equity value) to the assumptions it depends on.  Each assumption is changed by 1% and the resulting change in equity value is calculated.  The resulting percentage change in value are then ranked in order of significance and shown in a chart. If a sensitivity is shown in pink on the right hand part of the chart that means it is a "positive" sensitivity.  A positive sensitivity means that increasing the assumption increases the equity value.  If a sensitivity is shown in blue on the right hand side it represents a "negative" sensitivity.  A negative sensitivity means that increasing the assumption decreases the equity value.</t>
  </si>
  <si>
    <r>
      <t xml:space="preserve">Overview
</t>
    </r>
    <r>
      <rPr>
        <sz val="10"/>
        <rFont val="Arial"/>
        <family val="2"/>
      </rPr>
      <t xml:space="preserve">To put a value on contingencies we need to take probabilities into account (e.g. how likely is the contingency to occur).  An example of a contingency is an option position.  Whether the option pays off is contingent on the performance of an underlying asset.  Fortunately Black &amp; Scholes developed a formula for pricing some options that saves us many difficult probability calculations.  The Black / Scholes formula is used in the example below.
</t>
    </r>
    <r>
      <rPr>
        <sz val="10"/>
        <rFont val="Arial"/>
      </rPr>
      <t xml:space="preserve"> </t>
    </r>
  </si>
  <si>
    <t xml:space="preserve">A call option gives you the right - but not the obligation - to buy something at a future date at a price that is set today.  The price at which the purchase will be done (if it is done) is called the exercise price.  A put option gives you the right to sell something at a future date at a price that is set today.  Again, the price at which the sale will be done (if it is done) is the exercise price. </t>
  </si>
  <si>
    <r>
      <t xml:space="preserve">Overview
</t>
    </r>
    <r>
      <rPr>
        <sz val="10"/>
        <rFont val="Arial"/>
        <family val="2"/>
      </rPr>
      <t xml:space="preserve">The LOOKUP function performs a lookup on a table that has either a vertical organisation (i.e. in columns) or a horizontal organisation (i.e. in rows).  Another function in the looking-up family - VLOOKUP - works only with tables in a vertical organisation.  And HLOOKUP works only with tables that have a horizontal organisation.
</t>
    </r>
  </si>
  <si>
    <t>The earlier exercises are the easier ones to do.  The later ones are more difficult.  The approximate "degree of difficulty" of each exercise is listed with the exercise.</t>
  </si>
  <si>
    <r>
      <t xml:space="preserve">- If the amount is above the upper threshold then your formula should show </t>
    </r>
    <r>
      <rPr>
        <b/>
        <sz val="10"/>
        <rFont val="Arial"/>
        <family val="2"/>
      </rPr>
      <t>above</t>
    </r>
  </si>
  <si>
    <r>
      <t xml:space="preserve">- If the amount is below the lower theshold your formula should show </t>
    </r>
    <r>
      <rPr>
        <b/>
        <sz val="10"/>
        <rFont val="Arial"/>
        <family val="2"/>
      </rPr>
      <t>below</t>
    </r>
  </si>
  <si>
    <r>
      <t xml:space="preserve">- If the amount is between (but not including) the thresholds your formula should show </t>
    </r>
    <r>
      <rPr>
        <b/>
        <sz val="10"/>
        <rFont val="Arial"/>
        <family val="2"/>
      </rPr>
      <t>between</t>
    </r>
  </si>
  <si>
    <r>
      <t xml:space="preserve">- If the amount is equal to the lower threshold the formula should show </t>
    </r>
    <r>
      <rPr>
        <b/>
        <sz val="10"/>
        <rFont val="Arial"/>
        <family val="2"/>
      </rPr>
      <t>at lower</t>
    </r>
  </si>
  <si>
    <r>
      <t xml:space="preserve">- And if the amount is equal to the upper threshold the formula should show </t>
    </r>
    <r>
      <rPr>
        <b/>
        <sz val="10"/>
        <rFont val="Arial"/>
        <family val="2"/>
      </rPr>
      <t>at upper</t>
    </r>
  </si>
  <si>
    <t>The exercise below is about finding the size and "direction" of cash flows in two accounts.  To complete the exercise you will need to design some formulae to calculate: 1) Whether cash is going into or out of accounts, 2) how the cash flow is "split" between the accounts, and 3) the amount involved.</t>
  </si>
  <si>
    <t>Look at the spreadsheet below.  The spreadsheet keeps track of cash flows and balance in two accounts:  Account #1 and account #2.  Both accounts can be in credit or debit.</t>
  </si>
  <si>
    <t>Extra workspace isn't really required for this question -</t>
  </si>
  <si>
    <t>This is a rule that defines what needs to be done with a positive cash flow.  The cash flow is first applied to reducing Account #1's debit balance.  If the cash flow is greater than the debit balance then only enough is deposited into that account to set the balance to zero.  Any residual amount from the cash flow is deposited into Account #2.</t>
  </si>
  <si>
    <t>So, for example, if Account #1 has a debit balance of (17,000) and a cash flow of 20,000 occurs then 17,000 is deposited into Account #1 and 3,000 into Account #2.  If, on the other hand, a cash flow of 6,000 occurs then all of that amount is deposited into Account #1.</t>
  </si>
  <si>
    <t>So if there is insufficient capacity in Account #1 to pay the entire negative cash flow the residual amount must be withdrawn from Account #2.</t>
  </si>
  <si>
    <t>Look at the examples in the spreadsheet below.</t>
  </si>
  <si>
    <t>The MAX function returns the maximum of its argument(s).  The arguments can be references to single cells, groups of cells or can be numbers or formulae.  The MAX function ignores non-numeric arguments.</t>
  </si>
  <si>
    <t>Consider the MAX function in cell E2.  Its first argument is the range A2:B2 and its second argument is A4:C4.  The function returns the largest of the numbers in A2:B2 and A4:C4.  In this case the largest number is 17.</t>
  </si>
  <si>
    <t>The MIN function is just like the MAX except that it returns the minimum rather than the maximum.  An example is shown in cell E4 in the illustration above.  The MIN function in that case finds the smallest (i.e. least positive or most negative) of the numbers in A2:B2 and A4:C4.  That number is -2.</t>
  </si>
  <si>
    <t>Where might we use the MAX or MIN functions?  We'll look at a simple example relating to budgeting.  In the example below cells C2:F2 contain actual expense figures for four departments.  The corresponding budgeted figures are in cells C4:F4.</t>
  </si>
  <si>
    <t>On row 6 we work out the amount by which each department is over budget.  The calculation is simply the actual expense less the budgeted figure.  Some of the resulting figures are positive (indicating the actual expense was above the budgeted expense) and some are negative (indicating the actual expense was below the budgeted expense).</t>
  </si>
  <si>
    <t>Maximum amount over budget</t>
  </si>
  <si>
    <t>Actual expenses</t>
  </si>
  <si>
    <t xml:space="preserve">In the example below the actual expenses are all below budget so all of the "amount over budget" figures are negative.  This causes our "Maximum amount over budget" figure in D8 to become negative.  In this case in D8 we'd probably prefer to see the figure 0 rather than -1. </t>
  </si>
  <si>
    <t>We can modify the formula in D8 so that it shows 0 if all departments are within budget.  The illustration below shows how the formula can be modified.</t>
  </si>
  <si>
    <r>
      <t>&lt;- =MAX(MAX(</t>
    </r>
    <r>
      <rPr>
        <sz val="10"/>
        <color indexed="57"/>
        <rFont val="Arial"/>
      </rPr>
      <t>C6:F6</t>
    </r>
    <r>
      <rPr>
        <sz val="10"/>
        <rFont val="Arial"/>
      </rPr>
      <t>),0)</t>
    </r>
  </si>
  <si>
    <t>The "raw" over-budget figure is calculated by an "inner" MAX function - MAX(C6:F6).  We pass that result into an "outer" MAX function whose second argument is 0.  The effect of that MAX function is to return 0 if the first MAX function returns a negative number.</t>
  </si>
  <si>
    <r>
      <t>&lt;- =</t>
    </r>
    <r>
      <rPr>
        <sz val="10"/>
        <color indexed="10"/>
        <rFont val="Arial"/>
      </rPr>
      <t>G7</t>
    </r>
    <r>
      <rPr>
        <sz val="10"/>
        <rFont val="Arial"/>
      </rPr>
      <t>+</t>
    </r>
    <r>
      <rPr>
        <sz val="10"/>
        <color indexed="12"/>
        <rFont val="Arial"/>
      </rPr>
      <t>H4</t>
    </r>
  </si>
  <si>
    <r>
      <t>&lt;- =IF(</t>
    </r>
    <r>
      <rPr>
        <sz val="10"/>
        <color indexed="57"/>
        <rFont val="Arial"/>
      </rPr>
      <t>H7</t>
    </r>
    <r>
      <rPr>
        <sz val="10"/>
        <rFont val="Arial"/>
      </rPr>
      <t>&gt;0,</t>
    </r>
    <r>
      <rPr>
        <sz val="10"/>
        <color indexed="52"/>
        <rFont val="Arial"/>
      </rPr>
      <t>H2</t>
    </r>
    <r>
      <rPr>
        <sz val="10"/>
        <rFont val="Arial"/>
      </rPr>
      <t>,"NA")</t>
    </r>
  </si>
  <si>
    <r>
      <t>&lt;- =MIN(</t>
    </r>
    <r>
      <rPr>
        <sz val="10"/>
        <color indexed="61"/>
        <rFont val="Arial"/>
      </rPr>
      <t>C9:H9</t>
    </r>
    <r>
      <rPr>
        <sz val="10"/>
        <rFont val="Arial"/>
      </rPr>
      <t>)</t>
    </r>
  </si>
  <si>
    <t>Year:</t>
  </si>
  <si>
    <t>Cash flow:</t>
  </si>
  <si>
    <t>Cumulative cash flow:</t>
  </si>
  <si>
    <t>Cumulative cash flow is +ve:</t>
  </si>
  <si>
    <t>Payback year:</t>
  </si>
  <si>
    <t>[For examples of the MAX and MIN functions working with other functions click here]</t>
  </si>
  <si>
    <t xml:space="preserve">Max &amp; Min </t>
  </si>
  <si>
    <t>Applications of the MAX and MIN functions - determining payback period, testing if data is unique</t>
  </si>
  <si>
    <t>Applications of the MAX and MIN functions</t>
  </si>
  <si>
    <t>In this section we look at applications of the MAX and MIN functions to problems that require other functions also to be used.</t>
  </si>
  <si>
    <t>Detecting duplicates</t>
  </si>
  <si>
    <t>In the following example we want to test whether transaction codes in a list of transaction codes are duplicated.  The transaction codes are in cells A3:A7 below.</t>
  </si>
  <si>
    <t>Both the search column and the result column should be only one column wide.  There is no requirement - unlike with VLOOKUP - to have the result column in any particular position relative to the search column.  Consider the following example where they're "back to front" and offset.</t>
  </si>
  <si>
    <t>B - the item being searched for - isn't in the search column.  So the "nearest" result (the one for A) is returned.  
For this to work reliably the search column must be in sorted ascending order.
See the description of the VLOOKUP function for an outline of how LOOKUP, VLOOKUP and HLOOKUP searching works to find the "nearest" result.</t>
  </si>
  <si>
    <t>Down</t>
  </si>
  <si>
    <t>Up</t>
  </si>
  <si>
    <t>Match</t>
  </si>
  <si>
    <t>Sorted names</t>
  </si>
  <si>
    <t>Sorted down</t>
  </si>
  <si>
    <t>Sorted Up</t>
  </si>
  <si>
    <t>Chart</t>
  </si>
  <si>
    <t>abs()</t>
  </si>
  <si>
    <t>Show in chart</t>
  </si>
  <si>
    <t>Show index</t>
  </si>
  <si>
    <t>Chart names</t>
  </si>
  <si>
    <t>Chart series 1</t>
  </si>
  <si>
    <t>Chart series 2</t>
  </si>
  <si>
    <t>Curr liab / COGS</t>
  </si>
  <si>
    <t>Interest earned on cash</t>
  </si>
  <si>
    <t>Sensitivity</t>
  </si>
  <si>
    <t>Number per</t>
  </si>
  <si>
    <t>Prioritising</t>
  </si>
  <si>
    <t>Sensitising_Value</t>
  </si>
  <si>
    <t>Valuing contingencies</t>
  </si>
  <si>
    <t>www.tykoh.com</t>
  </si>
  <si>
    <t>InterestRateExposure</t>
  </si>
  <si>
    <t xml:space="preserve">  </t>
  </si>
  <si>
    <t>-</t>
  </si>
  <si>
    <t>Scenario analysing</t>
  </si>
  <si>
    <t>Grouping together / consolidating information</t>
  </si>
  <si>
    <t>Selectively showing a subset of information</t>
  </si>
  <si>
    <t>Attributing</t>
  </si>
  <si>
    <t xml:space="preserve">- Page </t>
  </si>
  <si>
    <t>Sensitising</t>
  </si>
  <si>
    <t>Valuing</t>
  </si>
  <si>
    <t>Cross reference of the functions used in these examples / Summary</t>
  </si>
  <si>
    <t>Barriers &amp; thresholds</t>
  </si>
  <si>
    <t>The CHOOSE function</t>
  </si>
  <si>
    <t>The IF function</t>
  </si>
  <si>
    <t>The LOOKUP function</t>
  </si>
  <si>
    <t>The OFFSET function</t>
  </si>
  <si>
    <t>The SUM function</t>
  </si>
  <si>
    <t>The VLOOKUP function</t>
  </si>
  <si>
    <t>Contingencies</t>
  </si>
  <si>
    <t>Interest rates</t>
  </si>
  <si>
    <t>Automatically emphasising information that meets defined criteria</t>
  </si>
  <si>
    <t xml:space="preserve">Allocating / using finite resources </t>
  </si>
  <si>
    <t>Putting information in order according to various criteria</t>
  </si>
  <si>
    <t>Defining sets of assumptions and analysing their outcomes</t>
  </si>
  <si>
    <t>Showing information visually to make it easier to interpret than a numerical representation</t>
  </si>
  <si>
    <t>Scenarios</t>
  </si>
  <si>
    <t>Valuing / Scenarios / Attributing</t>
  </si>
  <si>
    <r>
      <t>&lt;- =LARGE(</t>
    </r>
    <r>
      <rPr>
        <sz val="10"/>
        <color indexed="10"/>
        <rFont val="Arial"/>
      </rPr>
      <t>A2:C3</t>
    </r>
    <r>
      <rPr>
        <sz val="10"/>
        <rFont val="Arial"/>
      </rPr>
      <t>,1)</t>
    </r>
  </si>
  <si>
    <r>
      <t>&lt;- =LARGE(</t>
    </r>
    <r>
      <rPr>
        <sz val="10"/>
        <color indexed="10"/>
        <rFont val="Arial"/>
      </rPr>
      <t>A2:C3</t>
    </r>
    <r>
      <rPr>
        <sz val="10"/>
        <rFont val="Arial"/>
      </rPr>
      <t>,3)</t>
    </r>
  </si>
  <si>
    <t>Business and finance activities can often be described in terms of "processes".  A process is a set of actions performed on some input to generate an output.  Business and finance processes could involve aggregating, summarising, reporting, valuing, filtering, prioritising, ranking etc.  In this section we look at examples of such business processes and show how they can be represented and implemented in spreadsheets.</t>
  </si>
  <si>
    <t>The applications shown in this section have a finance emphasis but most can equally well be applied outside of the finance area.  Each example lists the spreadsheet functions and features that were used to build the example.  At the end of the chapter we review the spreadsheet functions and features used in the examples and draw some conclusions from those.</t>
  </si>
  <si>
    <t>The ABS function returns the absolute value of its argument.  The absolute value of a number is obtained by removing any minus sign it might have. The argument to the ABS must be a single number or cell reference.  If the argument is positive then the number is returned unchanged.  If the number is negative then the positive version of that number is returned (i.e. the sign is removed).</t>
  </si>
  <si>
    <t>Functions</t>
  </si>
  <si>
    <t>=D2 + SUM(A1:B2) * C2</t>
  </si>
  <si>
    <t>What do we mean by the word function?  A function is part (or all) of a spreadsheet formula.  Consider the formula below.</t>
  </si>
  <si>
    <t>What does a function do?  That depends on the function.  Different functions do different things.  The SUM function adds numbers, the AVERAGE function averages numbers, the CHOOSE function lets you choose between numbers, and so on.</t>
  </si>
  <si>
    <t>If you're using the SUM function to sum numbers how does the function "know" which numbers you want to add?  You tell it by giving it the numbers directly [as in =SUM(1, 2, 56)] or by giving it cell references that contain the numbers [as in =SUM(A1, A3, B6:G7)].</t>
  </si>
  <si>
    <r>
      <t xml:space="preserve">So to use a function you almost always pass it information for it to work with.  That information is contained in a list of </t>
    </r>
    <r>
      <rPr>
        <b/>
        <sz val="10"/>
        <rFont val="Arial"/>
        <family val="2"/>
      </rPr>
      <t>parameters</t>
    </r>
    <r>
      <rPr>
        <sz val="10"/>
        <rFont val="Arial"/>
      </rPr>
      <t xml:space="preserve"> or </t>
    </r>
    <r>
      <rPr>
        <b/>
        <sz val="10"/>
        <rFont val="Arial"/>
        <family val="2"/>
      </rPr>
      <t xml:space="preserve">arguments. </t>
    </r>
  </si>
  <si>
    <r>
      <t xml:space="preserve">In the SUM example above </t>
    </r>
    <r>
      <rPr>
        <b/>
        <sz val="10"/>
        <rFont val="Arial"/>
        <family val="2"/>
      </rPr>
      <t>A1:B2</t>
    </r>
    <r>
      <rPr>
        <sz val="10"/>
        <rFont val="Arial"/>
      </rPr>
      <t xml:space="preserve"> describes the numbers we want to sum.  So </t>
    </r>
    <r>
      <rPr>
        <b/>
        <sz val="10"/>
        <rFont val="Arial"/>
        <family val="2"/>
      </rPr>
      <t>A1:B2</t>
    </r>
    <r>
      <rPr>
        <sz val="10"/>
        <rFont val="Arial"/>
      </rPr>
      <t xml:space="preserve"> is the argument of the SUM function.  In this example the SUM function has a single argument.  If a function has more than one argument then they are separated by commas. Consider the following example.</t>
    </r>
  </si>
  <si>
    <r>
      <t xml:space="preserve">In the formula above </t>
    </r>
    <r>
      <rPr>
        <b/>
        <sz val="10"/>
        <rFont val="Arial"/>
        <family val="2"/>
      </rPr>
      <t>SUM</t>
    </r>
    <r>
      <rPr>
        <sz val="10"/>
        <rFont val="Arial"/>
      </rPr>
      <t xml:space="preserve"> is a function.  You can tell it's a function because it consists of letters of the alphabet immediately followed by an open bracket.  Anytime you see letters of the alphabet followed by a open bracket - you know you're looking at a function.</t>
    </r>
  </si>
  <si>
    <t>=SUM(1, A1:F4, 2 * 3, B2)</t>
  </si>
  <si>
    <t>This function has four arguments.  The first is 1, the second is A1:F4, the third is 2 *3 and the fourth is B2.</t>
  </si>
  <si>
    <t xml:space="preserve">In the chart we obviously can't "hard-code" a reference to a particular data series. That is because the location of the relevant series will change depending on the user's selection.  Situations like this are where the OFFSET function is useful:  The OFFSET function allows us to construct dynamic cell references based on changing criteria.  </t>
  </si>
  <si>
    <t>=IF(ROUND(1/10 + 1/10000 - 1/10,6) = ROUND(1/10 - 1/10 + 1/10000,6),</t>
  </si>
  <si>
    <t>"Different"</t>
  </si>
  <si>
    <t>)</t>
  </si>
  <si>
    <t>"Same"</t>
  </si>
  <si>
    <t>,"Different")</t>
  </si>
  <si>
    <t>Consider the formulae A and B below.  Even though they should give the same answers - they don't:  .</t>
  </si>
  <si>
    <t>We can prevent these arithmetic effects from causing unexpected results by using rounding.  This is illustrated by the following modification to the earlier example.  This modified version uses the ROUND function.</t>
  </si>
  <si>
    <t>Visual Basic</t>
  </si>
  <si>
    <t>Visual Basic is part of most Microsoft Office products and it gives you the power to:</t>
  </si>
  <si>
    <t>Automate routine work and save the time and trouble of doing the same thing over and over</t>
  </si>
  <si>
    <t>The following example shows a CHOOSE function being used to choose one of three scenarios.  This example is interactive.  The cell with a blue background can be changed.  The "output" is the cell with the black background.</t>
  </si>
  <si>
    <t>Scenario:</t>
  </si>
  <si>
    <t>1 - Neutral</t>
  </si>
  <si>
    <t>2 - Optimistic</t>
  </si>
  <si>
    <t>3 - Pessimistic</t>
  </si>
  <si>
    <t>Choose a scenario:</t>
  </si>
  <si>
    <t>Result:</t>
  </si>
  <si>
    <t>If the first argument is greater than the number of remaining arguments then an error is returned.  In this case the CHOOSE runs off the end of the list. That is illustrated next.</t>
  </si>
  <si>
    <t>Contents</t>
  </si>
  <si>
    <t>Lists this table of contents</t>
  </si>
  <si>
    <t>The most arguments a CHOOSE (or indeed any spreadsheet function) can have is 30.  So if you want to choose between 30 or more values you will not be able to use the CHOOSE function.  In that case you could probably use the OFFSET function.</t>
  </si>
  <si>
    <t>You can't use the first argument as "index" into a block of cells and attempt to retrieve the indexed cell.  If you try to do that an error will be returned.  This is illustrated in the following example.</t>
  </si>
  <si>
    <t>You can experiment with the CHOOSE function in the following example.</t>
  </si>
  <si>
    <t>Choose:</t>
  </si>
  <si>
    <t>Status</t>
  </si>
  <si>
    <t>LOOKUP function</t>
  </si>
  <si>
    <t>Tax code</t>
  </si>
  <si>
    <t>Rate</t>
  </si>
  <si>
    <t>These are the book's goals:</t>
  </si>
  <si>
    <t>And in the following example the search and result both have a horizontal orientation.</t>
  </si>
  <si>
    <t>And in this example the search is horizontal and the result is vertical.</t>
  </si>
  <si>
    <t>The LOOKUP function isn't as flexible as the VLOOKUP function in terms of allowing you to specify whether or not you want an exact match.  LOOKUP always returns a nearest match.  As in the following example.</t>
  </si>
  <si>
    <r>
      <t xml:space="preserve">The departmental table is defined in cells </t>
    </r>
    <r>
      <rPr>
        <sz val="10"/>
        <color indexed="12"/>
        <rFont val="Arial"/>
        <family val="2"/>
      </rPr>
      <t>J2:K6</t>
    </r>
    <r>
      <rPr>
        <sz val="10"/>
        <rFont val="Arial"/>
      </rPr>
      <t xml:space="preserve"> below.  The first column of the table is a list of department codes and the second column gives the number of staff for each department.  We want to do lookups of that table to find the number of staff for a given department.</t>
    </r>
  </si>
  <si>
    <r>
      <t xml:space="preserve">The first argument (A2) specifies what we're looking for.  In this case it's "A".  The second argument specifies where we're looking for "A".  In this case it's in the departmental table at </t>
    </r>
    <r>
      <rPr>
        <sz val="10"/>
        <color indexed="12"/>
        <rFont val="Arial"/>
        <family val="2"/>
      </rPr>
      <t>J2:K6</t>
    </r>
    <r>
      <rPr>
        <sz val="10"/>
        <rFont val="Arial"/>
      </rPr>
      <t>.  The third argument specifies which column of the table we want to retrieve information from. We want the "staff" column. Column numbering starts at the leftmost column of the table being searched and so the staff column is column number 2.  The last argument specifies what to do if the item being looked for isn't in the table.  If the fourth parameter is FALSE thenan error (#N/A) is returned if the item isn't found.  If the fourth parameter is TRUE or is absent then the "nearest" item will be found.</t>
    </r>
  </si>
  <si>
    <t>Hash coding</t>
  </si>
  <si>
    <t>fn_AND</t>
  </si>
  <si>
    <t>Number ads</t>
  </si>
  <si>
    <t>fn_CHOOSE</t>
  </si>
  <si>
    <t>fn_COUNTIF</t>
  </si>
  <si>
    <t>fn_IF</t>
  </si>
  <si>
    <t>Indexes into ads</t>
  </si>
  <si>
    <t>fn_ISNA</t>
  </si>
  <si>
    <t>fn_LOOKUP</t>
  </si>
  <si>
    <t>fn_OFFSET</t>
  </si>
  <si>
    <t>fn_VLOOKUP</t>
  </si>
  <si>
    <t>Interactive parts</t>
  </si>
  <si>
    <t>Spreadsheet functions used in this example</t>
  </si>
  <si>
    <t>Spreadsheet functions used in these examples</t>
  </si>
  <si>
    <t>List of names</t>
  </si>
  <si>
    <t>Valuing contingency</t>
  </si>
  <si>
    <t>Sensitivities</t>
  </si>
  <si>
    <t>Example</t>
  </si>
  <si>
    <t>num functions used</t>
  </si>
  <si>
    <t>Compacting information to generate a concise and representative form</t>
  </si>
  <si>
    <t>The next example in interactive.  You can choose which quartile figures are to be calculated.  We have used conditional formatting to highlight the figures in the chosen quartile.</t>
  </si>
  <si>
    <t>Quartile:</t>
  </si>
  <si>
    <t>Sales:</t>
  </si>
  <si>
    <t>One challenge in managing a set of prerequisites is to deal with the possibility of "circularity".  If you try to define a circular set of prerequisites below (e.g. A's prerequiste is B and B's prerequisite is A) you will see how this particular example deals with such a condition.</t>
  </si>
  <si>
    <t>... the number of un-interrupted days is:</t>
  </si>
  <si>
    <r>
      <t>Overview</t>
    </r>
    <r>
      <rPr>
        <sz val="10"/>
        <rFont val="Arial"/>
      </rPr>
      <t xml:space="preserve">
The CHOOSE is used to select one of several options.  The CHOOSE function's first argument determines which of the following arguments are returned.  If the first argument is 1 then the first following argument (i.e. the second) is returned.  If the first argument is 2 then the second following argument (i.e. the third) is returned.</t>
    </r>
  </si>
  <si>
    <t>A CHOOSE function can be used in scenario analysis.  For example, the user could make the CHOOSE function return an optimistic, neutral or pessimistic value for a growth rate.</t>
  </si>
  <si>
    <t>The MID function</t>
  </si>
  <si>
    <t>LEFT, MID, RIGHT and LEN functions</t>
  </si>
  <si>
    <t>The MAX function</t>
  </si>
  <si>
    <t>The LEN function</t>
  </si>
  <si>
    <t>Tracking cashflows</t>
  </si>
  <si>
    <t>* = Degree of difficulty on a scale from 1 to 10 - 1 is easy and 10 is very difficult.</t>
  </si>
  <si>
    <t>Determining amount and direction of cashflows</t>
  </si>
  <si>
    <t>Links to on-line resources</t>
  </si>
  <si>
    <t>Staff</t>
  </si>
  <si>
    <t>Staff:</t>
  </si>
  <si>
    <t>Sale / (purchase)</t>
  </si>
  <si>
    <t>Another way that a VLOOKUP can fail is if the reference to the table being looked up doesn't contain enough columns.  Note that in the following example the lookup table is only a single column (G).  We want to retrieve data from the adjacent (H - Rate) column.  But since the second argument to the lookup doesn't contain that column - the VLOOKUP fails.</t>
  </si>
  <si>
    <t>The number in column C increases by 1 when growth has been positive and resets to zero when growth is negative.  When the number in the C column reaches "N" - that's when there have been "N" consecutive years of positive growth.</t>
  </si>
  <si>
    <t>The MATCH function searches for a specified item in a list and returns the position of the item.  For example, if the item is found in the first position of the list, the MATCH function will return 1.</t>
  </si>
  <si>
    <t>Our courses are presented internationally.</t>
  </si>
  <si>
    <t>In this chapter we look at the "building blocks" of spreadsheets - the individual functions that can be combined to make complex applications.  We descibe what the functions do, how they are used and give examples of their applications.</t>
  </si>
  <si>
    <t>Charting makes it easier to see trends, patterns and anomalies in data than if the data were shown numerically.  The following are simple examples of "dynamic" charts.</t>
  </si>
  <si>
    <t>Overivew</t>
  </si>
  <si>
    <t>The following example builds from the previous one.  The result of the AND function is TRUE or FALSE.  We pass the TRUE or FALSE as the first argument into an IF function.  The IF function returns "within" or "outside" depending on whether the AND returns TRUE or FALSE.</t>
  </si>
  <si>
    <t>The AVERAGE function returns the average of one or more arguments.  The arguments can contain individual numbers or cells or groups of cells.  Some usages of the average function are shown below.</t>
  </si>
  <si>
    <t xml:space="preserve">In cell D1 we use the AVERAGE function to find the average of two individual cells: A1 contains 1 and C1 contains 3 and so the average is 2.  </t>
  </si>
  <si>
    <t xml:space="preserve">There are two forms of the LOOKUP function - a Vector form - and an array form.  In this section we'll look only at the Vector form.  </t>
  </si>
  <si>
    <r>
      <t>&lt;- =LOOKUP(</t>
    </r>
    <r>
      <rPr>
        <sz val="10"/>
        <color indexed="10"/>
        <rFont val="Arial"/>
        <family val="2"/>
      </rPr>
      <t>A3</t>
    </r>
    <r>
      <rPr>
        <sz val="10"/>
        <rFont val="Arial"/>
        <family val="2"/>
      </rPr>
      <t>,</t>
    </r>
    <r>
      <rPr>
        <sz val="10"/>
        <color indexed="12"/>
        <rFont val="Arial"/>
        <family val="2"/>
      </rPr>
      <t>F3:F7</t>
    </r>
    <r>
      <rPr>
        <sz val="10"/>
        <rFont val="Arial"/>
        <family val="2"/>
      </rPr>
      <t>,</t>
    </r>
    <r>
      <rPr>
        <sz val="10"/>
        <color indexed="57"/>
        <rFont val="Arial"/>
        <family val="2"/>
      </rPr>
      <t>H3:H7</t>
    </r>
    <r>
      <rPr>
        <sz val="10"/>
        <rFont val="Arial"/>
        <family val="2"/>
      </rPr>
      <t>)</t>
    </r>
  </si>
  <si>
    <r>
      <t>&lt;- =LOOKUP(</t>
    </r>
    <r>
      <rPr>
        <sz val="10"/>
        <color indexed="10"/>
        <rFont val="Arial"/>
        <family val="2"/>
      </rPr>
      <t>A6</t>
    </r>
    <r>
      <rPr>
        <sz val="10"/>
        <rFont val="Arial"/>
        <family val="2"/>
      </rPr>
      <t>,</t>
    </r>
    <r>
      <rPr>
        <sz val="10"/>
        <color indexed="12"/>
        <rFont val="Arial"/>
        <family val="2"/>
      </rPr>
      <t>B1:F1</t>
    </r>
    <r>
      <rPr>
        <sz val="10"/>
        <rFont val="Arial"/>
        <family val="2"/>
      </rPr>
      <t>,</t>
    </r>
    <r>
      <rPr>
        <sz val="10"/>
        <color indexed="57"/>
        <rFont val="Arial"/>
        <family val="2"/>
      </rPr>
      <t>H2:H6</t>
    </r>
    <r>
      <rPr>
        <sz val="10"/>
        <rFont val="Arial"/>
        <family val="2"/>
      </rPr>
      <t>)</t>
    </r>
  </si>
  <si>
    <r>
      <t>&lt;- =LOOKUP(</t>
    </r>
    <r>
      <rPr>
        <sz val="10"/>
        <color indexed="10"/>
        <rFont val="Arial"/>
        <family val="2"/>
      </rPr>
      <t>A6</t>
    </r>
    <r>
      <rPr>
        <sz val="10"/>
        <rFont val="Arial"/>
        <family val="2"/>
      </rPr>
      <t>,</t>
    </r>
    <r>
      <rPr>
        <sz val="10"/>
        <color indexed="12"/>
        <rFont val="Arial"/>
        <family val="2"/>
      </rPr>
      <t>B3:F3</t>
    </r>
    <r>
      <rPr>
        <sz val="10"/>
        <rFont val="Arial"/>
        <family val="2"/>
      </rPr>
      <t>,</t>
    </r>
    <r>
      <rPr>
        <sz val="10"/>
        <color indexed="57"/>
        <rFont val="Arial"/>
        <family val="2"/>
      </rPr>
      <t>B1:F1</t>
    </r>
    <r>
      <rPr>
        <sz val="10"/>
        <rFont val="Arial"/>
        <family val="2"/>
      </rPr>
      <t>)</t>
    </r>
  </si>
  <si>
    <r>
      <t>&lt;- =LOOKUP(</t>
    </r>
    <r>
      <rPr>
        <sz val="10"/>
        <color indexed="10"/>
        <rFont val="Arial"/>
        <family val="2"/>
      </rPr>
      <t>A3</t>
    </r>
    <r>
      <rPr>
        <sz val="10"/>
        <rFont val="Arial"/>
        <family val="2"/>
      </rPr>
      <t>,</t>
    </r>
    <r>
      <rPr>
        <sz val="10"/>
        <color indexed="12"/>
        <rFont val="Arial"/>
        <family val="2"/>
      </rPr>
      <t>H4:H8</t>
    </r>
    <r>
      <rPr>
        <sz val="10"/>
        <rFont val="Arial"/>
        <family val="2"/>
      </rPr>
      <t>,</t>
    </r>
    <r>
      <rPr>
        <sz val="10"/>
        <color indexed="57"/>
        <rFont val="Arial"/>
        <family val="2"/>
      </rPr>
      <t>F2:F6</t>
    </r>
    <r>
      <rPr>
        <sz val="10"/>
        <rFont val="Arial"/>
        <family val="2"/>
      </rPr>
      <t>)</t>
    </r>
  </si>
  <si>
    <t xml:space="preserve">But sometimes you can't hard-code which cells to reference. Consider the chart shown below for example.  The chart shows one of six data series (A through F).  Which of the six series is charted is determined by the user (i.e. you) making a selection in the blue area below. </t>
  </si>
  <si>
    <r>
      <t xml:space="preserve">Overview
</t>
    </r>
    <r>
      <rPr>
        <sz val="10"/>
        <rFont val="Arial"/>
        <family val="2"/>
      </rPr>
      <t xml:space="preserve">Usually when you write a formula you "hard-code" which cells the formula will reference.  A formula might be =SUM($G5:H7).  The $G5:H7 is a "hard-coded" cell reference.  By "hard-coded" we mean that the cell reference is set explicitly at the time the formula is written.  
</t>
    </r>
  </si>
  <si>
    <r>
      <t xml:space="preserve">Grouping by date
</t>
    </r>
    <r>
      <rPr>
        <sz val="10"/>
        <rFont val="Arial"/>
        <family val="2"/>
      </rPr>
      <t>Below is an example showing how SUMPRODUCT can be used to group transactions by date.  In columns A and B (in cells A7:B16) is a list of date intervals.  We want to know the value of transactions that occurred in each of the date intervals.  The raw transactions are listed in rows 2 and 3.</t>
    </r>
  </si>
  <si>
    <t>Start row</t>
  </si>
  <si>
    <t>min</t>
  </si>
  <si>
    <t>End date</t>
  </si>
  <si>
    <t>End row</t>
  </si>
  <si>
    <t>max</t>
  </si>
  <si>
    <t>G</t>
  </si>
  <si>
    <t>Call (european)</t>
  </si>
  <si>
    <t>Type</t>
  </si>
  <si>
    <t>Quartiles</t>
  </si>
  <si>
    <t>Feedback from our Spreadsheet skills course: "The facilitator is an excellent resource. Thanks for the opportunity to complete this."</t>
  </si>
  <si>
    <t>used to calculate quartiles</t>
  </si>
  <si>
    <t>Quartile</t>
  </si>
  <si>
    <t>using LARGE to calculate</t>
  </si>
  <si>
    <t>Sorting</t>
  </si>
  <si>
    <t>Unsorted</t>
  </si>
  <si>
    <t>Rank</t>
  </si>
  <si>
    <t>Sorted</t>
  </si>
  <si>
    <r>
      <t>&lt;- =LARGE(</t>
    </r>
    <r>
      <rPr>
        <sz val="10"/>
        <color indexed="10"/>
        <rFont val="Arial"/>
      </rPr>
      <t>$A$2:$A$7</t>
    </r>
    <r>
      <rPr>
        <sz val="10"/>
        <rFont val="Arial"/>
      </rPr>
      <t>,</t>
    </r>
    <r>
      <rPr>
        <sz val="10"/>
        <color indexed="12"/>
        <rFont val="Arial"/>
      </rPr>
      <t>B2</t>
    </r>
    <r>
      <rPr>
        <sz val="10"/>
        <rFont val="Arial"/>
      </rPr>
      <t>)</t>
    </r>
  </si>
  <si>
    <t>&lt;- =LARGE($A$2:$A$7,B3)</t>
  </si>
  <si>
    <t>&lt;- =LARGE($A$2:$A$7,B4)</t>
  </si>
  <si>
    <t>&lt;- =LARGE($A$2:$A$7,B5)</t>
  </si>
  <si>
    <t>&lt;- =LARGE($A$2:$A$7,B6)</t>
  </si>
  <si>
    <t>&lt;- =LARGE($A$2:$A$7,B7)</t>
  </si>
  <si>
    <t>The LARGE function can be used to dynamically sort data.  The example below gives a simple illustration.
Column A contains unsorted data. Column B contains the integers starting at 1 and increasing by 1 on each successive row.</t>
  </si>
  <si>
    <t>This book is aimed at those with intermediate levels of skills in spreadsheets - it is not a "beginner's" book. The concepts, examples and exercises range from intermediate to advanced levels.  As with other free works on the internet some advertising is included.  The advertising relates to workshops we run and services we offer.</t>
  </si>
  <si>
    <t>Good luck!  We hope you find this guide useful in increasing your expertise with spreadsheets and their applications.  If, at some stage, you are interested in attending a spreadsheet or financial modelling workshop please consider the ones we offer.  Also, please tell those you know who are interested in spreadsheets about this guide and our workshops.</t>
  </si>
  <si>
    <t xml:space="preserve">To show the reader examples of the things that are possible with spreadsheets.  Surprisingly, there are very few compilations like this of a set of wide-ranging and consistently presented spreadsheet examples.  </t>
  </si>
  <si>
    <t>Most complex things are built from a set of simple and fundamental components.  That's true also with spreadsheets.  Each example in the preceding chapter was made by choosing about 8 functions from a set of 40.</t>
  </si>
  <si>
    <t>Having completed the earlier chapters you are now in a position to test your design skills in a more open-ended environment.  You are given a set of problems to solve and you need to work out which functions to use and how to combine them to solve the problems.</t>
  </si>
  <si>
    <r>
      <t>- A free, interactive</t>
    </r>
    <r>
      <rPr>
        <vertAlign val="superscript"/>
        <sz val="14"/>
        <rFont val="Arial"/>
        <family val="2"/>
      </rPr>
      <t>(*)</t>
    </r>
    <r>
      <rPr>
        <sz val="20"/>
        <rFont val="Arial"/>
      </rPr>
      <t xml:space="preserve"> guide</t>
    </r>
  </si>
  <si>
    <t>[* Comments related to interactivity in this text relate to the spreadsheet version of this guide]</t>
  </si>
  <si>
    <t>Looked at examples of the kinds of things you can do with spreadsheets (in Chapter 1)</t>
  </si>
  <si>
    <t>Congratulations on having made it up to here.  We hope that by now you will have:</t>
  </si>
  <si>
    <t>Attempted one or more of the exercises listed in Chapter 4.</t>
  </si>
  <si>
    <t>So what's next? These are some possibilities:</t>
  </si>
  <si>
    <t>Do a free on-line self-evaluation of the skills covered in this guide.</t>
  </si>
  <si>
    <t>Look at workshops we offer that cover in more depth the concepts touched on in this guide.</t>
  </si>
  <si>
    <t>links_updates</t>
  </si>
  <si>
    <t>links_evaluation</t>
  </si>
  <si>
    <t>links_workshops</t>
  </si>
  <si>
    <t>Possibilities</t>
  </si>
  <si>
    <t>Conditional format, IF, LEN, MAX, MIN, OFFSET, ROW, SUMPRODUCT</t>
  </si>
  <si>
    <t>AND, AVERAGE, Conditional format, IF, OFFSET, ROW</t>
  </si>
  <si>
    <t>Conditional format, MATCH, MAX, MIN, OFFSET, ROW, TEXT</t>
  </si>
  <si>
    <t>AND, Conditional format, COUNTIF, LARGE, LEFT, MOD, OFFSET, ROW</t>
  </si>
  <si>
    <t>AND, IF, ISNA, MATCH, MAX, MIN, OFFSET, ROW, SUM</t>
  </si>
  <si>
    <t>Arrays, Data Table, IF, MATCH, MAX, MOD, OFFSET, RIGHT, ROW, SUM</t>
  </si>
  <si>
    <t>INT, LOOKUP, MATCH, MINVERSE, MMULT, OFFSET, ROW, TEXT, TREND</t>
  </si>
  <si>
    <t>AND, Arrays, Conditional format, MATCH, MAX, MIN, OFFSET, ROW, SUMPRODUCT, VLOOKUP</t>
  </si>
  <si>
    <t>IF, MIN, OFFSET, ROW, SUM</t>
  </si>
  <si>
    <t>CHOOSE, CODE, IF, LARGE, MATCH, MID, OFFSET, RIGHT, ROW, TEXT</t>
  </si>
  <si>
    <t>IF, OFFSET, ROUND, ROW</t>
  </si>
  <si>
    <t>ABS, AND, Conditional format, COUNT, Data Table, EOMONTH, IF, MATCH, MAX, MIN, OFFSET, OR, ROW, SUM, XNPV</t>
  </si>
  <si>
    <t>AVERAGE, CHOOSE, Conditional format, IF, OFFSET, ROW, SUM, TEXT, TREND</t>
  </si>
  <si>
    <t>COUNTIF functions in cells D3:D7 count the number of times each transaction code occurs.  If a transaction code occurs more than once that means it has been duplicated.</t>
  </si>
  <si>
    <t>The MAX function in cell C24 finds the maximum of the number of occurrences of each transaction code.  If the maximum is more than one then that means one or more transaction codes are duplicated.  The IF function in cell C11 reports the result of the duplication test.  That cell shows "Yes" or "No" depending on whether duplication has been found or not.</t>
  </si>
  <si>
    <t>The example above is interactive.  You can set the transaction code in cell A6 to be either a duplicate of another or not to duplicate another.</t>
  </si>
  <si>
    <t>Payback period</t>
  </si>
  <si>
    <t>In the example below we determine the payback period on a project.  We track the project cash flows.  The cash flows are initially negative and then become positive.  We find the date at which the first cumulative cash flow becomes positive.</t>
  </si>
  <si>
    <t>Row 4 below contains the project cash flows.  They are initially negative (i.e. cash outgoings - investments) and later become positive (i.e. cash incomings - return on investment).</t>
  </si>
  <si>
    <t>Column C contains sorted data and each cell's value is set by a LARGE function.  The LARGE function on the top row has a second argument of 1.  So C1 is the largest of the numbers in the A column.  The LARGE function on the second row has a second argument of 2.  So C2 is the second largest of the A numbers.  And so on.  We can see that the LARGE functions generate a sorted set of data in column C.</t>
  </si>
  <si>
    <t>by using LARGE function</t>
  </si>
  <si>
    <t>Offset with five arguments</t>
  </si>
  <si>
    <t>We have seen above that OFFSET can be used with three arguments.  It can also be used with five (and four) arguments.  In the case of five arguments the extra two arguments specify the size (in rows and columns) of the range returned.  For example if the fourth and fifth arguments are 7 and 8 then the range returned with have seven rows and eight columns.</t>
  </si>
  <si>
    <t>=OFFSET(A3,1,2,3,4)</t>
  </si>
  <si>
    <t>3 rows</t>
  </si>
  <si>
    <t>------------------------ 4 columns ------------------------</t>
  </si>
  <si>
    <t>In the example below we can see that OFFSET(A3,1,2,3,4) refers to the range C4:F6.  How do we arrive at C4:F6?  We start at A3 and go down 1 row (the second argument) and then move across 2 columns (the third argument).  We're now at C4.  We then return a range starting at C4 that is 3 rows down and 4 columns across: C4:F6.</t>
  </si>
  <si>
    <t>Another illlustration of the OFFSET with five arguments is below.  The formula in A5 returns a range one row by one columns starting at C2.  So it returns the cell in C2 and passes that reference to the SUM function.  So the SUM function returns the value of C2 (1).</t>
  </si>
  <si>
    <t>The formula in A6 passes a one row, two column reference to the SUM function.  That reference is equivalent to C2:D2.  C2 contains 1 and D2 contains 2.  So the SUM function returns 1 + 2 = 3.</t>
  </si>
  <si>
    <t>The formula in A7 returns a reference equivalent to C2:C3.  C2 contains 1 and C3 contains 8.  So the SUM function returns 9.</t>
  </si>
  <si>
    <t>The formula in A8 returns a reference equivalent to C2:D3.  The SUM function returns the sum of the numbers in C2:D3.</t>
  </si>
  <si>
    <t>Introduction</t>
  </si>
  <si>
    <t>Note that LOOKUP will return an error if the first entry in the search column is larger than the item being looked up.  As in the following example.</t>
  </si>
  <si>
    <t>The item being looked for is A.  The first item in search column G is B.  And the LOOKUP fails.</t>
  </si>
  <si>
    <t>The following example lets you experiment with the LOOKUP function.  The cell with a blue background can be changed.  The "output" is the cell with the black background.</t>
  </si>
  <si>
    <t>OFFSET function</t>
  </si>
  <si>
    <t>Series to chart</t>
  </si>
  <si>
    <t>OFFSET fundamentals - OFFSET with three arguments</t>
  </si>
  <si>
    <t>Growth</t>
  </si>
  <si>
    <t xml:space="preserve">Chosen scenario </t>
  </si>
  <si>
    <t>Scenario number:</t>
  </si>
  <si>
    <t>Growth:</t>
  </si>
  <si>
    <t>In the example above we start at B4 and move two rows up and three columns to the right.  The OFFSET function in this case generates the same as would the cell reference =E2.</t>
  </si>
  <si>
    <t>OFFSET sample application - Scenario selection</t>
  </si>
  <si>
    <t>The following example is a "live" version of the scenario example discussed earlier.  You can select a scenario number (in the cell with the blue background).  The selected scenario's parameters will then appear in the cells with the black background.</t>
  </si>
  <si>
    <t>&lt;- 5</t>
  </si>
  <si>
    <t>Choose a scenario -&gt;</t>
  </si>
  <si>
    <t>Cost of capital</t>
  </si>
  <si>
    <t>&lt;- =OFFSET($B6,0,$C$1)</t>
  </si>
  <si>
    <t>OFFSET sample application - Setting an averaging period</t>
  </si>
  <si>
    <t>Averaging days</t>
  </si>
  <si>
    <t>Day</t>
  </si>
  <si>
    <t>Averaged</t>
  </si>
  <si>
    <t>To do</t>
  </si>
  <si>
    <t>Add a link to an on-line assessment which tests the various topics covered explicitly in this book.</t>
  </si>
  <si>
    <t>Add a 2D lookup exercise</t>
  </si>
  <si>
    <t>Function</t>
  </si>
  <si>
    <t>function</t>
  </si>
  <si>
    <t>function,</t>
  </si>
  <si>
    <t>fn_Others</t>
  </si>
  <si>
    <t>Ex_1</t>
  </si>
  <si>
    <t>Ex_2</t>
  </si>
  <si>
    <t>Ex_Others</t>
  </si>
  <si>
    <t>filtering</t>
  </si>
  <si>
    <t>Version</t>
  </si>
  <si>
    <t>of this book</t>
  </si>
  <si>
    <t>Book</t>
  </si>
  <si>
    <r>
      <t>Overview</t>
    </r>
    <r>
      <rPr>
        <sz val="10"/>
        <rFont val="Arial"/>
      </rPr>
      <t xml:space="preserve">
Spreadsheets often contain hundreds or thousands of numbers.  Of those some may be more signficant than others.  To emphasis those numbers they can be highlighted.  Highlighting can be "static" (i.e. fixed) or it can be dynamic and can change automatically.  The following examples all show dynamic formatting and highlighting.</t>
    </r>
  </si>
  <si>
    <t xml:space="preserve"> Show transaction that have values between</t>
  </si>
  <si>
    <t>Choose data set</t>
  </si>
  <si>
    <t>Data sets</t>
  </si>
  <si>
    <t>DS 1</t>
  </si>
  <si>
    <t>DS 2</t>
  </si>
  <si>
    <t>DS 3</t>
  </si>
  <si>
    <t>Yearly</t>
  </si>
  <si>
    <t>Seasonal index</t>
  </si>
  <si>
    <r>
      <t>Overview</t>
    </r>
    <r>
      <rPr>
        <sz val="10"/>
        <rFont val="Arial"/>
      </rPr>
      <t xml:space="preserve">
Aggregating involves grouping together or consolidating information.  In the following example we aggregate transactions by grouping them into date intervals.  We then show the number of transactions that occurred in each interval.   The number of transactions is shown graphically - but in a somewhat unusual way - rather than using a chart we use conditional formatting.</t>
    </r>
  </si>
  <si>
    <t>Series name</t>
  </si>
  <si>
    <t>In the area below choose start and end months and years.  The sum of the data points that lie between (and including) the start and end dates will be calculated.</t>
  </si>
  <si>
    <t xml:space="preserve">In the area below choose a month and year.  The data point for that month and year will be looked up. </t>
  </si>
  <si>
    <r>
      <t>Functions and features used</t>
    </r>
    <r>
      <rPr>
        <i/>
        <sz val="8"/>
        <rFont val="Arial"/>
        <family val="2"/>
      </rPr>
      <t xml:space="preserve"> </t>
    </r>
    <r>
      <rPr>
        <i/>
        <sz val="8"/>
        <color indexed="12"/>
        <rFont val="Arial"/>
        <family val="2"/>
      </rPr>
      <t>(Functions in blue are described in Chapter 3)</t>
    </r>
  </si>
  <si>
    <t>Contingency</t>
  </si>
  <si>
    <t>valuing option</t>
  </si>
  <si>
    <t>Option</t>
  </si>
  <si>
    <t>valuing</t>
  </si>
  <si>
    <t>option</t>
  </si>
  <si>
    <t>cash flows, debt</t>
  </si>
  <si>
    <t>equity, enterprise</t>
  </si>
  <si>
    <t>to interest rates</t>
  </si>
  <si>
    <t>to value drivers</t>
  </si>
  <si>
    <t>Scenario analysis</t>
  </si>
  <si>
    <t>sample application</t>
  </si>
  <si>
    <t>Choosing a scenario</t>
  </si>
  <si>
    <t>Sample applications</t>
  </si>
  <si>
    <t>aggregating</t>
  </si>
  <si>
    <t>averaging</t>
  </si>
  <si>
    <t>charting</t>
  </si>
  <si>
    <t>highlighting</t>
  </si>
  <si>
    <t>interpolating</t>
  </si>
  <si>
    <t>stepped</t>
  </si>
  <si>
    <t>piecewise linear</t>
  </si>
  <si>
    <t>cubic spline, curved</t>
  </si>
  <si>
    <t>statistical</t>
  </si>
  <si>
    <t>ibookver</t>
  </si>
  <si>
    <t xml:space="preserve">How can we use the functions described in Chapter 3 to build applications like those in Chapter 2?  Obviously - by combining the functions appropriately.  In this chapter we will start combining functions to build "mini" applications. </t>
  </si>
  <si>
    <t>Here we look at an illustration of how SUMPRODUCT can be used in complex conditional counting.  By conditional counting we mean counting only when a certain criterion is satisfied.</t>
  </si>
  <si>
    <t>&lt;- TRUE</t>
  </si>
  <si>
    <t>Codes</t>
  </si>
  <si>
    <t>Year</t>
  </si>
  <si>
    <t>Income statement</t>
  </si>
  <si>
    <t>Sales</t>
  </si>
  <si>
    <t>Cost of goods sold</t>
  </si>
  <si>
    <r>
      <t>&lt;- =LARGE(</t>
    </r>
    <r>
      <rPr>
        <sz val="10"/>
        <color indexed="10"/>
        <rFont val="Arial"/>
      </rPr>
      <t>A2:H7</t>
    </r>
    <r>
      <rPr>
        <sz val="10"/>
        <rFont val="Arial"/>
      </rPr>
      <t>,COUNT(</t>
    </r>
    <r>
      <rPr>
        <sz val="10"/>
        <color indexed="10"/>
        <rFont val="Arial"/>
      </rPr>
      <t>A2:H7</t>
    </r>
    <r>
      <rPr>
        <sz val="10"/>
        <rFont val="Arial"/>
      </rPr>
      <t>)*</t>
    </r>
    <r>
      <rPr>
        <sz val="10"/>
        <color indexed="12"/>
        <rFont val="Arial"/>
      </rPr>
      <t>B9</t>
    </r>
    <r>
      <rPr>
        <sz val="10"/>
        <rFont val="Arial"/>
      </rPr>
      <t>/4)</t>
    </r>
  </si>
  <si>
    <t>[For more information about the SUMPRODUCT function click here]</t>
  </si>
  <si>
    <r>
      <t>&lt;- =OFFSET(</t>
    </r>
    <r>
      <rPr>
        <sz val="10"/>
        <color indexed="10"/>
        <rFont val="Arial"/>
      </rPr>
      <t>I2</t>
    </r>
    <r>
      <rPr>
        <sz val="10"/>
        <rFont val="Arial"/>
      </rPr>
      <t>,MATCH(</t>
    </r>
    <r>
      <rPr>
        <sz val="10"/>
        <color indexed="12"/>
        <rFont val="Arial"/>
      </rPr>
      <t>B1</t>
    </r>
    <r>
      <rPr>
        <sz val="10"/>
        <rFont val="Arial"/>
      </rPr>
      <t>,</t>
    </r>
    <r>
      <rPr>
        <sz val="10"/>
        <color indexed="57"/>
        <rFont val="Arial"/>
      </rPr>
      <t>I3:I14</t>
    </r>
    <r>
      <rPr>
        <sz val="10"/>
        <rFont val="Arial"/>
      </rPr>
      <t>,0),MATCH(</t>
    </r>
    <r>
      <rPr>
        <sz val="10"/>
        <color indexed="52"/>
        <rFont val="Arial"/>
      </rPr>
      <t>B3</t>
    </r>
    <r>
      <rPr>
        <sz val="10"/>
        <rFont val="Arial"/>
      </rPr>
      <t>,</t>
    </r>
    <r>
      <rPr>
        <sz val="10"/>
        <color indexed="61"/>
        <rFont val="Arial"/>
      </rPr>
      <t>J1:L1</t>
    </r>
    <r>
      <rPr>
        <sz val="10"/>
        <rFont val="Arial"/>
      </rPr>
      <t>,0))</t>
    </r>
  </si>
  <si>
    <t>[For more information on the VLOOKUP function click here]</t>
  </si>
  <si>
    <t>[For more information on the MATCH function click here]</t>
  </si>
  <si>
    <t>[For more information on the OFFSET function click here]</t>
  </si>
  <si>
    <t>Call (cash-or-nothing)</t>
  </si>
  <si>
    <t>Put (cash-or-nothing)</t>
  </si>
  <si>
    <t>Call (asset-or-nothing)</t>
  </si>
  <si>
    <t>Put (asset-or-nothing)</t>
  </si>
  <si>
    <t>Asset price (S)</t>
  </si>
  <si>
    <t>b</t>
  </si>
  <si>
    <t>r</t>
  </si>
  <si>
    <t>Exercise price (K)</t>
  </si>
  <si>
    <t>d</t>
  </si>
  <si>
    <t>N(d)</t>
  </si>
  <si>
    <t>N(-d)</t>
  </si>
  <si>
    <t>Chapter 4</t>
  </si>
  <si>
    <t>Chapter 5</t>
  </si>
  <si>
    <t>Transaction data</t>
  </si>
  <si>
    <t>Average of a history of values.</t>
  </si>
  <si>
    <t>Date</t>
  </si>
  <si>
    <t>Transaction</t>
  </si>
  <si>
    <t>Amount</t>
  </si>
  <si>
    <t>min date</t>
  </si>
  <si>
    <t>max date</t>
  </si>
  <si>
    <t>DII-34</t>
  </si>
  <si>
    <t>EAD-53</t>
  </si>
  <si>
    <t>BIC-30</t>
  </si>
  <si>
    <t>HEJ-61</t>
  </si>
  <si>
    <t>HFF-90</t>
  </si>
  <si>
    <t>AHG-81</t>
  </si>
  <si>
    <t>JFG-72</t>
  </si>
  <si>
    <t>ICC-26</t>
  </si>
  <si>
    <t>JHC-24</t>
  </si>
  <si>
    <t>HGD-98</t>
  </si>
  <si>
    <t>IHE-25</t>
  </si>
  <si>
    <t>FFB-37</t>
  </si>
  <si>
    <t>BIB-77</t>
  </si>
  <si>
    <t>GIE-35</t>
  </si>
  <si>
    <t>CGJ-33</t>
  </si>
  <si>
    <t>ADC-58</t>
  </si>
  <si>
    <t>CAA-60</t>
  </si>
  <si>
    <t>FCI-84</t>
  </si>
  <si>
    <t>FED-17</t>
  </si>
  <si>
    <t>CJF-32</t>
  </si>
  <si>
    <t>HHE-97</t>
  </si>
  <si>
    <t>FGD-28</t>
  </si>
  <si>
    <t>EGE-33</t>
  </si>
  <si>
    <t>ABD-80</t>
  </si>
  <si>
    <t>EID-69</t>
  </si>
  <si>
    <t>ACD-74</t>
  </si>
  <si>
    <t>HCG-33</t>
  </si>
  <si>
    <t>X</t>
  </si>
  <si>
    <t>Y</t>
  </si>
  <si>
    <t>Cell A4 contains the value FALSE.  Cell B4 contains the formula =A4+1.  Since cell B4 returns 1 we can conclude that the spreadsheet interprets FALSE as being gthe same as 0.</t>
  </si>
  <si>
    <t>The SUMPRODUCT function above multiplies the 0's and 1's in one column by the 0's and 1's in the other column and adds the results.  The number returned by the calculation is the number of times there are 1's in the same row.  Now why is this behaviour important or useful?  The usefulness relates to the fact that spreadsheets interpret TRUE and FALSE as being the same as 1 and 0.</t>
  </si>
  <si>
    <t>We can show that spreadsheets see TRUE as being the same as 1 and FALSE the same as 0 by looking at the following example.</t>
  </si>
  <si>
    <t>Determing the timings, order and duration of events / cash flows</t>
  </si>
  <si>
    <t>Interactive sections are marked by colours.  Cells with a blue background that look like this</t>
  </si>
  <si>
    <t>A cross reference of functions, topics and examples</t>
  </si>
  <si>
    <t>In column B we are accumulating a running total.  In cell B3 we add the current value (in cell A3) to the previous running total in the row above.  When we do this in the first row we pick up the column title rather than a real running total.  However, since SUM interprets text as being zero, this works as it should.</t>
  </si>
  <si>
    <t>Note that an alternative method of accumulating the running total (by explicit addition - as shown in column F) generates errors when text is added to numbers.</t>
  </si>
  <si>
    <t>SUM interprets cells that contain text as being zero.  So, for example, SUM(6, "column title") would be 6.  An example of this behaviour is shown below.</t>
  </si>
  <si>
    <t>Differences between SUM and explicit addition</t>
  </si>
  <si>
    <t>differences to addition</t>
  </si>
  <si>
    <t>SUM:</t>
  </si>
  <si>
    <t>Explicit addition:</t>
  </si>
  <si>
    <t>Another difference between SUM and explicit addition is shown below.  Both the SUM formula (in C6) and the explicit addition formula (in C8) are adding cells B2 and B4.  But the two answers are different:  SUM returns 3 and explicit addition returns 8.  The reason is that SUM interprets cell B2 as zero.  
The reason it does that is that B2 actually contains text rather than a number:  A leading apostrophe (') marks the cell as text.  And, as we have seen earlier, SUM interprets text as zero.</t>
  </si>
  <si>
    <t>The reason explicit addition returns the 8 in C8 is that explicit addition "promotes" text to numbers if the text is interpretable as being a number.</t>
  </si>
  <si>
    <t>In the following example the table being looked up is shown as the coloured area in columns G and H.  Column G contains a list of tax codes and column H has a list of associated tax rates.</t>
  </si>
  <si>
    <t>The COUNT function</t>
  </si>
  <si>
    <t>The COUNTIF function</t>
  </si>
  <si>
    <t>The MATCH function</t>
  </si>
  <si>
    <t>MATCH function</t>
  </si>
  <si>
    <t>The MIN function</t>
  </si>
  <si>
    <t>AVERAGE function</t>
  </si>
  <si>
    <t>The AVERAGE function</t>
  </si>
  <si>
    <t>LARGE function</t>
  </si>
  <si>
    <t>The LARGE function</t>
  </si>
  <si>
    <t>The LEFT function</t>
  </si>
  <si>
    <t>The RIGHT function</t>
  </si>
  <si>
    <t>SUMPRODUCT function</t>
  </si>
  <si>
    <t>The SUMPRODUCT function</t>
  </si>
  <si>
    <t>Tax Table</t>
  </si>
  <si>
    <t>&lt;- 4</t>
  </si>
  <si>
    <t>V</t>
  </si>
  <si>
    <t>W</t>
  </si>
  <si>
    <r>
      <t xml:space="preserve">As we have seen the IF function returns one of two results (either the second or third argument).  What if we want to return one of </t>
    </r>
    <r>
      <rPr>
        <b/>
        <sz val="10"/>
        <rFont val="Arial"/>
        <family val="2"/>
      </rPr>
      <t>three</t>
    </r>
    <r>
      <rPr>
        <sz val="10"/>
        <rFont val="Arial"/>
      </rPr>
      <t xml:space="preserve"> results?  One way of achieving this is to "nest" IF functions - i.e. have one "inside" the other.</t>
    </r>
  </si>
  <si>
    <t>We will compare two values (Value 1 and Value 2) and determine whether Value 1 is greater than, equal to or less than Value 2.</t>
  </si>
  <si>
    <r>
      <t>&lt;- =IF(</t>
    </r>
    <r>
      <rPr>
        <sz val="10"/>
        <color indexed="10"/>
        <rFont val="Arial"/>
      </rPr>
      <t>A2</t>
    </r>
    <r>
      <rPr>
        <sz val="10"/>
        <rFont val="Arial"/>
      </rPr>
      <t>&gt;</t>
    </r>
    <r>
      <rPr>
        <sz val="10"/>
        <color indexed="12"/>
        <rFont val="Arial"/>
      </rPr>
      <t>B2</t>
    </r>
    <r>
      <rPr>
        <sz val="10"/>
        <rFont val="Arial"/>
      </rPr>
      <t>,"greater",IF(</t>
    </r>
    <r>
      <rPr>
        <sz val="10"/>
        <color indexed="10"/>
        <rFont val="Arial"/>
      </rPr>
      <t>A2</t>
    </r>
    <r>
      <rPr>
        <sz val="10"/>
        <rFont val="Arial"/>
      </rPr>
      <t>=</t>
    </r>
    <r>
      <rPr>
        <sz val="10"/>
        <color indexed="12"/>
        <rFont val="Arial"/>
      </rPr>
      <t>B2</t>
    </r>
    <r>
      <rPr>
        <sz val="10"/>
        <rFont val="Arial"/>
      </rPr>
      <t>,"equal","less"))</t>
    </r>
  </si>
  <si>
    <r>
      <t>&lt;- ="Value 1 is " &amp; IF(</t>
    </r>
    <r>
      <rPr>
        <sz val="10"/>
        <color indexed="10"/>
        <rFont val="Arial"/>
      </rPr>
      <t>A2</t>
    </r>
    <r>
      <rPr>
        <sz val="10"/>
        <rFont val="Arial"/>
      </rPr>
      <t>&gt;</t>
    </r>
    <r>
      <rPr>
        <sz val="10"/>
        <color indexed="12"/>
        <rFont val="Arial"/>
      </rPr>
      <t>B2</t>
    </r>
    <r>
      <rPr>
        <sz val="10"/>
        <rFont val="Arial"/>
      </rPr>
      <t>,"greater than",IF(</t>
    </r>
    <r>
      <rPr>
        <sz val="10"/>
        <color indexed="10"/>
        <rFont val="Arial"/>
      </rPr>
      <t>A2</t>
    </r>
    <r>
      <rPr>
        <sz val="10"/>
        <rFont val="Arial"/>
      </rPr>
      <t>=</t>
    </r>
    <r>
      <rPr>
        <sz val="10"/>
        <color indexed="12"/>
        <rFont val="Arial"/>
      </rPr>
      <t>B2</t>
    </r>
    <r>
      <rPr>
        <sz val="10"/>
        <rFont val="Arial"/>
      </rPr>
      <t>,"equal to","less than")) &amp; " Value 2"</t>
    </r>
  </si>
  <si>
    <t>Group 1</t>
  </si>
  <si>
    <t>Group 2</t>
  </si>
  <si>
    <t>Num 3</t>
  </si>
  <si>
    <r>
      <t>&lt;- =SUM(</t>
    </r>
    <r>
      <rPr>
        <sz val="10"/>
        <color indexed="10"/>
        <rFont val="Arial"/>
      </rPr>
      <t>B2:D2</t>
    </r>
    <r>
      <rPr>
        <sz val="10"/>
        <rFont val="Arial"/>
      </rPr>
      <t>,</t>
    </r>
    <r>
      <rPr>
        <sz val="10"/>
        <color indexed="12"/>
        <rFont val="Arial"/>
      </rPr>
      <t>B4:C4</t>
    </r>
    <r>
      <rPr>
        <sz val="10"/>
        <rFont val="Arial"/>
      </rPr>
      <t>,</t>
    </r>
    <r>
      <rPr>
        <sz val="10"/>
        <color indexed="57"/>
        <rFont val="Arial"/>
      </rPr>
      <t>B6</t>
    </r>
    <r>
      <rPr>
        <sz val="10"/>
        <rFont val="Arial"/>
      </rPr>
      <t>)</t>
    </r>
  </si>
  <si>
    <t>Running total</t>
  </si>
  <si>
    <r>
      <t>&lt;- =SUM(</t>
    </r>
    <r>
      <rPr>
        <sz val="10"/>
        <color indexed="10"/>
        <rFont val="Arial"/>
      </rPr>
      <t>A3</t>
    </r>
    <r>
      <rPr>
        <sz val="10"/>
        <rFont val="Arial"/>
      </rPr>
      <t>,</t>
    </r>
    <r>
      <rPr>
        <sz val="10"/>
        <color indexed="12"/>
        <rFont val="Arial"/>
      </rPr>
      <t>B2</t>
    </r>
    <r>
      <rPr>
        <sz val="10"/>
        <rFont val="Arial"/>
      </rPr>
      <t>)</t>
    </r>
  </si>
  <si>
    <r>
      <t>&lt;- =</t>
    </r>
    <r>
      <rPr>
        <sz val="10"/>
        <color indexed="10"/>
        <rFont val="Arial"/>
      </rPr>
      <t>E3</t>
    </r>
    <r>
      <rPr>
        <sz val="10"/>
        <rFont val="Arial"/>
      </rPr>
      <t>+</t>
    </r>
    <r>
      <rPr>
        <sz val="10"/>
        <color indexed="12"/>
        <rFont val="Arial"/>
      </rPr>
      <t>F2</t>
    </r>
  </si>
  <si>
    <r>
      <t>&lt;- =SUM(</t>
    </r>
    <r>
      <rPr>
        <sz val="10"/>
        <color indexed="10"/>
        <rFont val="Arial"/>
      </rPr>
      <t>B2</t>
    </r>
    <r>
      <rPr>
        <sz val="10"/>
        <rFont val="Arial"/>
      </rPr>
      <t>,</t>
    </r>
    <r>
      <rPr>
        <sz val="10"/>
        <color indexed="12"/>
        <rFont val="Arial"/>
      </rPr>
      <t>B4</t>
    </r>
    <r>
      <rPr>
        <sz val="10"/>
        <rFont val="Arial"/>
      </rPr>
      <t>, 4)</t>
    </r>
  </si>
  <si>
    <t>The SUM function takes up to thirty arguments.  Each argument describes a number, cell or block of cells to add up.  In the following example the SUM function adds the numbers in two cells (B2 and B4 and the number 4).</t>
  </si>
  <si>
    <t>In the example below the SUM function adds the numbers in two blocks of cells (B2:D2 and B4:C4) together with the number in the single cell (B6).</t>
  </si>
  <si>
    <t xml:space="preserve"> Mixed abs / rel references like this =SUM(L$38:L38)</t>
  </si>
  <si>
    <t>aren't processed properly - they come out looking like</t>
  </si>
  <si>
    <t>'&lt;- =SUM(I$3)</t>
  </si>
  <si>
    <t>seasonalising</t>
  </si>
  <si>
    <t>workshop on</t>
  </si>
  <si>
    <t>about</t>
  </si>
  <si>
    <t>Exercise</t>
  </si>
  <si>
    <t xml:space="preserve">on compound IF </t>
  </si>
  <si>
    <t>on interpolating</t>
  </si>
  <si>
    <t>exercise on</t>
  </si>
  <si>
    <t>Valuing / Sensitising</t>
  </si>
  <si>
    <t>Payment schedule - sets timing and magnitude of cash flows</t>
  </si>
  <si>
    <t>Interest rate curve - generating by interpolating using four points</t>
  </si>
  <si>
    <t>Event Schedule</t>
  </si>
  <si>
    <t>VLOOKUP takes three or four arguments. The first argument specifies what is being looked for (B in this example - in cell A3).  
The second argument describes the location of the table being searched (G3:H7 in this case).
The third argument controls which column of the lookup table the answer is obtained from.  In this example the third argument is 2.  So the answer is retrieved from the second column.  Column numbering is relative to the seach column (G in this case).  The search column is treated as being column number 1.  So in this example column 2 means the H column.  The tax rate for tax code B is retrieved and found to be 15%.</t>
  </si>
  <si>
    <t>The example below shows how the COUNTIF function can be used: We have a list of departmental</t>
  </si>
  <si>
    <t xml:space="preserve"> "performance levels".  Performance levels are A,B,C or D.  We want to count the number of times an "A" performance has occurred.</t>
  </si>
  <si>
    <t>Index low</t>
  </si>
  <si>
    <t>Index high</t>
  </si>
  <si>
    <t>Matches</t>
  </si>
  <si>
    <t>Index</t>
  </si>
  <si>
    <t>Filtered data</t>
  </si>
  <si>
    <t>Filtering criteria</t>
  </si>
  <si>
    <t>Source - unfiltered - data</t>
  </si>
  <si>
    <t>Assumptions</t>
  </si>
  <si>
    <t>Source data</t>
  </si>
  <si>
    <t>Transaction code</t>
  </si>
  <si>
    <t>Transaction size</t>
  </si>
  <si>
    <t>Date ordering</t>
  </si>
  <si>
    <t>Transaction code ordering</t>
  </si>
  <si>
    <t>Code</t>
  </si>
  <si>
    <t>Value</t>
  </si>
  <si>
    <t>Ordered</t>
  </si>
  <si>
    <t>Size ordering</t>
  </si>
  <si>
    <t>Label</t>
  </si>
  <si>
    <t xml:space="preserve">    Order by:</t>
  </si>
  <si>
    <t>Ranking criteria</t>
  </si>
  <si>
    <t>Ranked data</t>
  </si>
  <si>
    <t>Annual sales growth</t>
  </si>
  <si>
    <t>Sales growth</t>
  </si>
  <si>
    <t>Current assets / yearly sales</t>
  </si>
  <si>
    <t>Curr assets / sales</t>
  </si>
  <si>
    <t>Current liabilities / cost of goods sold</t>
  </si>
  <si>
    <t>Curr liab / GOGS</t>
  </si>
  <si>
    <t>Net fixed assets / yearly sales</t>
  </si>
  <si>
    <t>Fixed assets / sales</t>
  </si>
  <si>
    <t>COGS / sales</t>
  </si>
  <si>
    <t>Depreciation rate</t>
  </si>
  <si>
    <t>Depreciation</t>
  </si>
  <si>
    <t>Interest rate on debt</t>
  </si>
  <si>
    <t>Int. on debt</t>
  </si>
  <si>
    <t>Interest earned on cash balance</t>
  </si>
  <si>
    <t>Int. on cash</t>
  </si>
  <si>
    <t>Tax rate</t>
  </si>
  <si>
    <t>Dividend payout ratio</t>
  </si>
  <si>
    <t>Div payout ratio</t>
  </si>
  <si>
    <t>Discount rate</t>
  </si>
  <si>
    <t>Terminal value multiple</t>
  </si>
  <si>
    <t>TVM</t>
  </si>
  <si>
    <r>
      <t>&lt;- ="The " &amp;</t>
    </r>
    <r>
      <rPr>
        <sz val="10"/>
        <color indexed="10"/>
        <rFont val="Arial"/>
      </rPr>
      <t>C1</t>
    </r>
    <r>
      <rPr>
        <sz val="10"/>
        <rFont val="Arial"/>
      </rPr>
      <t>&amp;IF(</t>
    </r>
    <r>
      <rPr>
        <sz val="10"/>
        <color indexed="10"/>
        <rFont val="Arial"/>
      </rPr>
      <t>C1</t>
    </r>
    <r>
      <rPr>
        <sz val="10"/>
        <rFont val="Arial"/>
      </rPr>
      <t>&gt;3,"th",CHOOSE(</t>
    </r>
    <r>
      <rPr>
        <sz val="10"/>
        <color indexed="10"/>
        <rFont val="Arial"/>
      </rPr>
      <t>C1</t>
    </r>
    <r>
      <rPr>
        <sz val="10"/>
        <rFont val="Arial"/>
      </rPr>
      <t>,"st","nd","rd"))&amp;" largest is " &amp; LARGE(</t>
    </r>
    <r>
      <rPr>
        <sz val="10"/>
        <color indexed="12"/>
        <rFont val="Arial"/>
      </rPr>
      <t>E1:G2</t>
    </r>
    <r>
      <rPr>
        <sz val="10"/>
        <rFont val="Arial"/>
      </rPr>
      <t>,</t>
    </r>
    <r>
      <rPr>
        <sz val="10"/>
        <color indexed="10"/>
        <rFont val="Arial"/>
      </rPr>
      <t>C1</t>
    </r>
    <r>
      <rPr>
        <sz val="10"/>
        <rFont val="Arial"/>
      </rPr>
      <t>)</t>
    </r>
  </si>
  <si>
    <t>The following shows interactively how LARGE works.  In cell C1 you choose "how large" (e.g. 1 = largest, 2 = second largest, etc).  The answer is shown in cell A7.  In A7 note how the IF and CHOOSE functions are used to add the "st" in "1st", the "nd in 2nd", the "rd" in 3rd and the "th" thereafter.</t>
  </si>
  <si>
    <t>Maturity (in years)</t>
  </si>
  <si>
    <t>Exercise price</t>
  </si>
  <si>
    <t>Position [number held / (sold)]</t>
  </si>
  <si>
    <t>Asset</t>
  </si>
  <si>
    <t>Yield</t>
  </si>
  <si>
    <t>Volatility</t>
  </si>
  <si>
    <t>Holding Index</t>
  </si>
  <si>
    <t>Asset price index</t>
  </si>
  <si>
    <t>Asset price steps</t>
  </si>
  <si>
    <t>Asset price max</t>
  </si>
  <si>
    <t>Asset price min</t>
  </si>
  <si>
    <t>Portfolio value</t>
  </si>
  <si>
    <t>Asset Price</t>
  </si>
  <si>
    <t>Series 1</t>
  </si>
  <si>
    <t>Series 2</t>
  </si>
  <si>
    <t>Series 3</t>
  </si>
  <si>
    <t>Type number</t>
  </si>
  <si>
    <t>Type code</t>
  </si>
  <si>
    <t>N(d1)</t>
  </si>
  <si>
    <t>d1</t>
  </si>
  <si>
    <t>d2</t>
  </si>
  <si>
    <t>N(-d1)</t>
  </si>
  <si>
    <t>N(d2)</t>
  </si>
  <si>
    <t>N(-d2)</t>
  </si>
  <si>
    <t>Put (european)</t>
  </si>
  <si>
    <t>Look at the formula in cell B1.  The LEFT function's single argument is A1,  A1 contains "FGH234". Because the LEFT function isn't provided with a second argument it returns the leftmost character of "FGH234" i.e. "F".</t>
  </si>
  <si>
    <t>In the formula in cell B3 the LEFT function is provided with a second argument - 2.  So the left 2 characters of FGH234 are returned.</t>
  </si>
  <si>
    <t>If the second argument is larger than the number of characters in the first argument then the LEFT function returns all of the first argument - as shown by the formula in cell B5.</t>
  </si>
  <si>
    <t>Below is a simpled example showing the left function being used to abbreviate the names of the months to a standard three character length.</t>
  </si>
  <si>
    <t>[For a more complex example using the LEFT function click here.]</t>
  </si>
  <si>
    <t>[For an example showing the SUMPRODUCT function used with another function in a more complex application click here]</t>
  </si>
  <si>
    <r>
      <t xml:space="preserve">Look at the SUMPRODUCT formula in cell A1.  This part of the formula generates an "internal" array of four TRUEs and FALSEs:  </t>
    </r>
    <r>
      <rPr>
        <b/>
        <sz val="10"/>
        <rFont val="Arial"/>
        <family val="2"/>
      </rPr>
      <t>(B3:B6&gt;E3:E6)</t>
    </r>
  </si>
  <si>
    <r>
      <t xml:space="preserve">This part of the formula generates another array of TRUEs and FALSEs: </t>
    </r>
    <r>
      <rPr>
        <b/>
        <sz val="10"/>
        <rFont val="Arial"/>
        <family val="2"/>
      </rPr>
      <t>(C3:C6&gt;F3:F6)</t>
    </r>
  </si>
  <si>
    <r>
      <t xml:space="preserve">So the SUMPRODUCT, in effect, is doing this calculation: </t>
    </r>
    <r>
      <rPr>
        <b/>
        <sz val="10"/>
        <rFont val="Arial"/>
        <family val="2"/>
      </rPr>
      <t>=SUMPRODUCT(({TRUE;FALSE;TRUE;FALSE})*({FALSE;TRUE;TRUE;FALSE}))</t>
    </r>
  </si>
  <si>
    <t>Budgeting</t>
  </si>
  <si>
    <t>Look at the SUMPRODUCT formula in cell C7.  There are three components to that formula.</t>
  </si>
  <si>
    <r>
      <t xml:space="preserve">The first component is </t>
    </r>
    <r>
      <rPr>
        <b/>
        <sz val="10"/>
        <rFont val="Arial"/>
        <family val="2"/>
      </rPr>
      <t>($B$2:$L$2&gt;=A7)</t>
    </r>
    <r>
      <rPr>
        <sz val="10"/>
        <rFont val="Arial"/>
      </rPr>
      <t>.  This generates an array of TRUEs and FALSEs (in effect 1s and 0s).  This component tests whether transaction dates in B2:L2 occurred after the "From" date in A7.</t>
    </r>
  </si>
  <si>
    <r>
      <t xml:space="preserve">The second component is </t>
    </r>
    <r>
      <rPr>
        <b/>
        <sz val="10"/>
        <rFont val="Arial"/>
        <family val="2"/>
      </rPr>
      <t>($B$2:$L$2&lt;=B7)</t>
    </r>
    <r>
      <rPr>
        <sz val="10"/>
        <rFont val="Arial"/>
      </rPr>
      <t>.  This generates another array of 1's and 0's.  This component tests whether transactions dates occurred before the "to" date in cell B7.</t>
    </r>
  </si>
  <si>
    <r>
      <t xml:space="preserve">The third component is </t>
    </r>
    <r>
      <rPr>
        <b/>
        <sz val="10"/>
        <rFont val="Arial"/>
        <family val="2"/>
      </rPr>
      <t>($B$3:$L$3)</t>
    </r>
    <r>
      <rPr>
        <sz val="10"/>
        <rFont val="Arial"/>
      </rPr>
      <t>.  This is a list of transaction amounts.</t>
    </r>
  </si>
  <si>
    <t>We can see that the SUMPRODUCT function is multiplying the transaction amounts by a series of 1's and 0's and adding the subtotals.  Only those transactions are included in the total that have transaction dates after the from date and before the to date.</t>
  </si>
  <si>
    <t>Grouping</t>
  </si>
  <si>
    <t>by date - SUMPRODUCT</t>
  </si>
  <si>
    <t>grouping by date</t>
  </si>
  <si>
    <t>The first difference is that 1s have been replaced by TRUEs and 0s by FALSEs.  The second difference is that the comma between the two SUMPRODUCT arguments has been replaced by a multiplication sign (*).</t>
  </si>
  <si>
    <r>
      <t>This guide is available in two forms:  As a spreadsheet and as a PDF document.  Of the two versions the more useful and interesting one is the spreadsheet (XLS):  The PDF version is a book but the spreadsheet version is an</t>
    </r>
    <r>
      <rPr>
        <b/>
        <sz val="10"/>
        <rFont val="Arial"/>
        <family val="2"/>
      </rPr>
      <t xml:space="preserve"> </t>
    </r>
    <r>
      <rPr>
        <b/>
        <u/>
        <sz val="10"/>
        <rFont val="Arial"/>
        <family val="2"/>
      </rPr>
      <t>interactive</t>
    </r>
    <r>
      <rPr>
        <sz val="10"/>
        <rFont val="Arial"/>
        <family val="2"/>
      </rPr>
      <t xml:space="preserve"> book.</t>
    </r>
  </si>
  <si>
    <t>To let the reader test their mastery of the spreadsheet functions described in this book by carrying out a set of exercises.</t>
  </si>
  <si>
    <t>The layout of this book is as follows.</t>
  </si>
  <si>
    <t xml:space="preserve">Let's look now at how ISNA can detect the status of our lookups.  ISNA takes a single argument.  ISNA returns TRUE if its argument is #NA.  ISNA returns FALSE if its argument isn't #NA.  </t>
  </si>
  <si>
    <t>FGH234</t>
  </si>
  <si>
    <r>
      <t>&lt;- =LEFT(</t>
    </r>
    <r>
      <rPr>
        <sz val="10"/>
        <color indexed="10"/>
        <rFont val="Arial"/>
      </rPr>
      <t>A1</t>
    </r>
    <r>
      <rPr>
        <sz val="10"/>
        <rFont val="Arial"/>
      </rPr>
      <t>)</t>
    </r>
  </si>
  <si>
    <r>
      <t>&lt;- =LEFT(</t>
    </r>
    <r>
      <rPr>
        <sz val="10"/>
        <color indexed="10"/>
        <rFont val="Arial"/>
      </rPr>
      <t>A1</t>
    </r>
    <r>
      <rPr>
        <sz val="10"/>
        <rFont val="Arial"/>
      </rPr>
      <t>,2)</t>
    </r>
  </si>
  <si>
    <r>
      <t>&lt;- =LEFT(</t>
    </r>
    <r>
      <rPr>
        <sz val="10"/>
        <color indexed="10"/>
        <rFont val="Arial"/>
      </rPr>
      <t>A1</t>
    </r>
    <r>
      <rPr>
        <sz val="10"/>
        <rFont val="Arial"/>
      </rPr>
      <t>,20)</t>
    </r>
  </si>
  <si>
    <t>January</t>
  </si>
  <si>
    <t>February</t>
  </si>
  <si>
    <t>The COUNT function counts the number of numbers in a range.  Consider the following example.  The COUNT function in B5 is counting the number of numbers in the range B2:D3.  B2 and C3 are numbers.  C2 is an error and B3 is text.  D2 and D3 are empty.  So only two of the six cells contain numbers - and that is what COUNT returns.</t>
  </si>
  <si>
    <t>The following example illustrates how the COUNT function can be used.  In the example we're checking that all of the items in a range are actually numbers.</t>
  </si>
  <si>
    <t>used with OFFSET</t>
  </si>
  <si>
    <t>used with AVERAGE</t>
  </si>
  <si>
    <t>top "N"</t>
  </si>
  <si>
    <t>"N" - highlighting</t>
  </si>
  <si>
    <t>Top</t>
  </si>
  <si>
    <t>So this is an opportunity to use the ABS function.  The spreadsheet below has been corrected and redesigned to use the ABS function.  Look at the formula in D6.  We pass the transaction amount (in D4) to the ABS function.  So irrespective of whether we're buying or selling a positive number is always returned..  The result of the ABS function is multiplied by the brokerage percentage.  A minus sign at the front of the formula then converts the result to a cost.</t>
  </si>
  <si>
    <t>Things you can't do with an ABS function</t>
  </si>
  <si>
    <t>The example below shows some things you can't do with an ABS function.</t>
  </si>
  <si>
    <t>The formula in E2 attempts to find the ABS of a range of cells A2:C2.  But that's not possible to do and so an error is returned.</t>
  </si>
  <si>
    <t>Limit</t>
  </si>
  <si>
    <t>The formula in B4 attempts to find the ABS of a non-numeric item - and again - an error is returned.</t>
  </si>
  <si>
    <t>Look at the formula in cell B5:  We use MATCH functions to find the row and column to retrieve data from.  Once we know the row and column offsets those numbers are passed to the OFFSET function to retrieve the appropriate data item.</t>
  </si>
  <si>
    <t>The MATCH functions in cells C11 and C12 show how the row and column offsets are calculated and have been provided only for explanation purposes -  Cells C11 and C12 aren't needed by the OFFSET function in B5 because that formula uses MATCH itself to find the offsets.</t>
  </si>
  <si>
    <t>complex - using SUMPRODUCT</t>
  </si>
  <si>
    <t>used in complex counting</t>
  </si>
  <si>
    <t>The LEFT function works with "strings" - text in other words.  The LEFT function can take one or two arguments.  The first argument is a string.  If there isn't a second argument then the LEFT function returns the leftmost character in its first argument.  This is illustrated in the example below.</t>
  </si>
  <si>
    <t>Month</t>
  </si>
  <si>
    <r>
      <t>&lt;- =VLOOKUP(</t>
    </r>
    <r>
      <rPr>
        <sz val="10"/>
        <color indexed="10"/>
        <rFont val="Arial"/>
      </rPr>
      <t>B1</t>
    </r>
    <r>
      <rPr>
        <sz val="10"/>
        <rFont val="Arial"/>
      </rPr>
      <t>,</t>
    </r>
    <r>
      <rPr>
        <sz val="10"/>
        <color indexed="12"/>
        <rFont val="Arial"/>
      </rPr>
      <t>I3:L14</t>
    </r>
    <r>
      <rPr>
        <sz val="10"/>
        <rFont val="Arial"/>
      </rPr>
      <t>,MATCH(</t>
    </r>
    <r>
      <rPr>
        <sz val="10"/>
        <color indexed="57"/>
        <rFont val="Arial"/>
      </rPr>
      <t>B3</t>
    </r>
    <r>
      <rPr>
        <sz val="10"/>
        <rFont val="Arial"/>
      </rPr>
      <t>,</t>
    </r>
    <r>
      <rPr>
        <sz val="10"/>
        <color indexed="52"/>
        <rFont val="Arial"/>
      </rPr>
      <t>I1:L1</t>
    </r>
    <r>
      <rPr>
        <sz val="10"/>
        <rFont val="Arial"/>
      </rPr>
      <t>,0),FALSE)</t>
    </r>
  </si>
  <si>
    <t>The following example lets you experiment with the VLOOKUP.  Cells with a blue background can be changed.  The "output" is the cell with the black backgound.</t>
  </si>
  <si>
    <t>Search type</t>
  </si>
  <si>
    <t>Upper threshold</t>
  </si>
  <si>
    <t>Lower threshold</t>
  </si>
  <si>
    <t xml:space="preserve"> &lt;&lt;- You will need to use different values for Amount</t>
  </si>
  <si>
    <t xml:space="preserve">       to test if your formula (below) works for all values.</t>
  </si>
  <si>
    <t xml:space="preserve">  &lt;&lt;- Put your formula into this cell</t>
  </si>
  <si>
    <t>Status of your answer</t>
  </si>
  <si>
    <t>The exercise</t>
  </si>
  <si>
    <t>Revenue share table</t>
  </si>
  <si>
    <t>Profit $,000's</t>
  </si>
  <si>
    <t>Revenue share (%)</t>
  </si>
  <si>
    <r>
      <t>&lt;- =COUNTIF(</t>
    </r>
    <r>
      <rPr>
        <sz val="10"/>
        <color indexed="10"/>
        <rFont val="Arial"/>
      </rPr>
      <t>C2:H2</t>
    </r>
    <r>
      <rPr>
        <sz val="10"/>
        <rFont val="Arial"/>
      </rPr>
      <t>,"&gt;="&amp;</t>
    </r>
    <r>
      <rPr>
        <sz val="10"/>
        <color indexed="12"/>
        <rFont val="Arial"/>
      </rPr>
      <t>D4</t>
    </r>
    <r>
      <rPr>
        <sz val="10"/>
        <rFont val="Arial"/>
      </rPr>
      <t>)</t>
    </r>
  </si>
  <si>
    <t>Dept</t>
  </si>
  <si>
    <t>Location</t>
  </si>
  <si>
    <t>Singapore</t>
  </si>
  <si>
    <t>Auckland</t>
  </si>
  <si>
    <t>Sydney</t>
  </si>
  <si>
    <t>New York</t>
  </si>
  <si>
    <t>London</t>
  </si>
  <si>
    <t>Dept:</t>
  </si>
  <si>
    <t>Dept. Performance:</t>
  </si>
  <si>
    <r>
      <t>&lt;- =COUNTIF(</t>
    </r>
    <r>
      <rPr>
        <sz val="10"/>
        <color indexed="10"/>
        <rFont val="Arial"/>
      </rPr>
      <t>C2:H2</t>
    </r>
    <r>
      <rPr>
        <sz val="10"/>
        <rFont val="Arial"/>
      </rPr>
      <t>,"A")</t>
    </r>
  </si>
  <si>
    <r>
      <t>&lt;- =COUNTIF(</t>
    </r>
    <r>
      <rPr>
        <sz val="10"/>
        <color indexed="10"/>
        <rFont val="Arial"/>
      </rPr>
      <t>C2:H2</t>
    </r>
    <r>
      <rPr>
        <sz val="10"/>
        <rFont val="Arial"/>
      </rPr>
      <t>,"&gt;=B")</t>
    </r>
  </si>
  <si>
    <t>Choose performance level:</t>
  </si>
  <si>
    <t>Number of times had "A" performance:</t>
  </si>
  <si>
    <t>Number of times "B" or worse performance:</t>
  </si>
  <si>
    <r>
      <t>&lt;- =COUNTIF(</t>
    </r>
    <r>
      <rPr>
        <sz val="10"/>
        <color indexed="10"/>
        <rFont val="Arial"/>
      </rPr>
      <t>C2:H2</t>
    </r>
    <r>
      <rPr>
        <sz val="10"/>
        <rFont val="Arial"/>
      </rPr>
      <t>,</t>
    </r>
    <r>
      <rPr>
        <sz val="10"/>
        <color indexed="12"/>
        <rFont val="Arial"/>
      </rPr>
      <t>D4</t>
    </r>
    <r>
      <rPr>
        <sz val="10"/>
        <rFont val="Arial"/>
      </rPr>
      <t>)</t>
    </r>
  </si>
  <si>
    <t>Number of times had chosen performance:</t>
  </si>
  <si>
    <t>Number of times had chosen performance or worse:</t>
  </si>
  <si>
    <t>Correct answer</t>
  </si>
  <si>
    <t>Check their choice</t>
  </si>
  <si>
    <t>First perf</t>
  </si>
  <si>
    <t>Second</t>
  </si>
  <si>
    <t>The answer for that combination is</t>
  </si>
  <si>
    <t>"Correct data table"</t>
  </si>
  <si>
    <t>Data table using their formula</t>
  </si>
  <si>
    <t>Find the first entry that differs</t>
  </si>
  <si>
    <t>A's</t>
  </si>
  <si>
    <t>B's</t>
  </si>
  <si>
    <t>C's</t>
  </si>
  <si>
    <t>D's</t>
  </si>
  <si>
    <t>Index of 1st diff</t>
  </si>
  <si>
    <t>Separate into components</t>
  </si>
  <si>
    <t>First index</t>
  </si>
  <si>
    <t>Second index</t>
  </si>
  <si>
    <t>First diff</t>
  </si>
  <si>
    <t>2nd</t>
  </si>
  <si>
    <t xml:space="preserve">- The third argument is the result column (or row) and contains the values the lookup will return.  </t>
  </si>
  <si>
    <t>Chapter 1 presents a set of spreadsheet applications. The applications are broad in scope, some are fairly basic and others are more complex. Their purpose is to illustrate many of the capabilities - some of them not well known - of spreadsheets.  Almost all of the examples are interactive.</t>
  </si>
  <si>
    <t>This chapter contains a description of some spreadsheet functions.  As with the rest of this book - some sections are interactive.  Most if not all of the functions described in this chapter are used in the application examples in Chapter 2.</t>
  </si>
  <si>
    <t>[To revise basics about the MAX and MIN functions click here.]</t>
  </si>
  <si>
    <t>The OR function accepts a number of TRUE and FALSE parameters and returns TRUE if any of the parameters are TRUE.  It returns FALSE otherwise.</t>
  </si>
  <si>
    <t>yes</t>
  </si>
  <si>
    <t>no</t>
  </si>
  <si>
    <t>Flag</t>
  </si>
  <si>
    <r>
      <t>&lt;- =IF(OR(</t>
    </r>
    <r>
      <rPr>
        <sz val="10"/>
        <color indexed="10"/>
        <rFont val="Arial"/>
      </rPr>
      <t>B5</t>
    </r>
    <r>
      <rPr>
        <sz val="10"/>
        <rFont val="Arial"/>
      </rPr>
      <t>&lt;0,</t>
    </r>
    <r>
      <rPr>
        <sz val="10"/>
        <color indexed="12"/>
        <rFont val="Arial"/>
      </rPr>
      <t>C5</t>
    </r>
    <r>
      <rPr>
        <sz val="10"/>
        <rFont val="Arial"/>
      </rPr>
      <t>="no"),"x","")</t>
    </r>
  </si>
  <si>
    <r>
      <t>&lt;- =IF(OR(</t>
    </r>
    <r>
      <rPr>
        <sz val="10"/>
        <color indexed="57"/>
        <rFont val="Arial"/>
      </rPr>
      <t>B8</t>
    </r>
    <r>
      <rPr>
        <sz val="10"/>
        <rFont val="Arial"/>
      </rPr>
      <t>&lt;0,</t>
    </r>
    <r>
      <rPr>
        <sz val="10"/>
        <color indexed="52"/>
        <rFont val="Arial"/>
      </rPr>
      <t>C8</t>
    </r>
    <r>
      <rPr>
        <sz val="10"/>
        <rFont val="Arial"/>
      </rPr>
      <t>="no"),"x","")</t>
    </r>
  </si>
  <si>
    <t>A simple example below shows an application of the OR function.  We want to "flag" in column E when one (or both) of two things happened in a year:  1) Growth was negative, 2) the result wasn't within budget.</t>
  </si>
  <si>
    <t>We use an OR function to test whether growth (in column  B) was less than zero or whether the "within budget" figure (in column C) was "no".  If either or both of those are true then the OR function will return TRUE.  And in that case the IF function will set a "x" marker in the flag column (column E).</t>
  </si>
  <si>
    <t>on tracking cash flows</t>
  </si>
  <si>
    <t>ABS, AND, CHOOSE, Data Table, EOMONTH, IF, LARGE, MATCH, OFFSET, ROW, SUM, XNPV</t>
  </si>
  <si>
    <t>CHOOSE, Data Table, EXP, IF, LN, MATCH, MAX, NORMSDIST, OFFSET, ROW, SQRT, SUM</t>
  </si>
  <si>
    <t>VB</t>
  </si>
  <si>
    <r>
      <t>Summary</t>
    </r>
    <r>
      <rPr>
        <sz val="10"/>
        <rFont val="Arial"/>
      </rPr>
      <t xml:space="preserve">
Even though some of the examples in this spreadsheet are complex we can see that they are built from a small number of functions.  So where does the complexity and power and usefulness of the examples come from?  It comes from the </t>
    </r>
    <r>
      <rPr>
        <b/>
        <sz val="10"/>
        <rFont val="Arial"/>
        <family val="2"/>
      </rPr>
      <t>arrangement</t>
    </r>
    <r>
      <rPr>
        <sz val="10"/>
        <rFont val="Arial"/>
      </rPr>
      <t xml:space="preserve"> of individually simple functions into a complex whole.  This points to the importance and benefits of </t>
    </r>
    <r>
      <rPr>
        <b/>
        <sz val="10"/>
        <rFont val="Arial"/>
        <family val="2"/>
      </rPr>
      <t>design</t>
    </r>
    <r>
      <rPr>
        <sz val="10"/>
        <rFont val="Arial"/>
      </rPr>
      <t xml:space="preserve"> - being able to build something complex from things that are simple.
Another lesson from the examples is the benefit of </t>
    </r>
    <r>
      <rPr>
        <b/>
        <sz val="10"/>
        <rFont val="Arial"/>
        <family val="2"/>
      </rPr>
      <t>focusing</t>
    </r>
    <r>
      <rPr>
        <sz val="10"/>
        <rFont val="Arial"/>
      </rPr>
      <t xml:space="preserve"> ones' learning on a subset of spreadsheet functions:  In these examples approximately 40 functions out of 320 are particularly useful to know about.  The other 280 - odd might be applicable only infrequently.
</t>
    </r>
  </si>
  <si>
    <t>&lt;- =AVERAGE(B8:OFFSET(B8,-($C$1-1),0))</t>
  </si>
  <si>
    <t>&lt;- =AVERAGE(B9:OFFSET(B9,-($C$1-1),0))</t>
  </si>
  <si>
    <t>We go back from today (i.e. B7) a certain number of rows.  The number of rows we go back is the user's selection in $C$1 less 1.</t>
  </si>
  <si>
    <t>&lt;- =AVERAGE(OFFSET(B8,0,0,-($C$1-1),1))</t>
  </si>
  <si>
    <t>&lt;- =AVERAGE(OFFSET(B9,0,0,-($C$1-1),1))</t>
  </si>
  <si>
    <t>SUM function</t>
  </si>
  <si>
    <t>Num 1</t>
  </si>
  <si>
    <t>Num 2</t>
  </si>
  <si>
    <t>Sum</t>
  </si>
  <si>
    <t>5</t>
  </si>
  <si>
    <t>VLOOKUP function</t>
  </si>
  <si>
    <t>A similar but more extreme example is the following:  We want a nearest match for "V".  Even though V is alphabetically closer to W than it is to C - it is C's tax rate that is returned.  As in the preceding example VLOOKUP "steps" through the search column till it realises it has gone too far (at W) and backs up by one row and returns C's tax rate.</t>
  </si>
  <si>
    <t>This searching behaviour also happens if the search column contains numbers.  In the following example the tax rate table contains numbers (income levels) in the first, search, column.</t>
  </si>
  <si>
    <t>Income</t>
  </si>
  <si>
    <t>In the example above we're looking for the tax rate for an income level of $54,000.  Note that the rate returned is 15%.  This rate will be returned for all income levels between $30,000 and up to (but not including) $55,000.</t>
  </si>
  <si>
    <t>If a "nearest match" lookup is being done and the item being searched for is larger than the last item in the search column then the last entry is returned.  As in the following example.</t>
  </si>
  <si>
    <t>Here the income - $154,000 - is greater than the last income in the search column - $150,000.  So the tax rate for $150,000 is returned.</t>
  </si>
  <si>
    <t>Valuing cash flows and finding interest rate exposure</t>
  </si>
  <si>
    <t>In a VLOOKUP if we specify a "nearest" lookup (by omitting the fourth argument or having it TRUE) and an exact match is found, then the exact item is returned.  As in the following example:  An exact match for "V" is found.</t>
  </si>
  <si>
    <t>If the searching column is not in sorted order and we are searching for a nearest match - even if an exact match exists - then the lookup may still fail.  That is illustrated in the following scenario.</t>
  </si>
  <si>
    <t>The item being search for - B - is in the table but isn't found because the search column isn't sorted in ascending order.</t>
  </si>
  <si>
    <t>If we want to count performances greater than or equal to that shown in D4 then we do that the following way.  We "hard-code" the "&gt;=" and follow that with the "&amp;" symbol.  The "&amp;" is a "joining" or "concatenation" operator.  And the last part of the second argument is the cell reference D4.</t>
  </si>
  <si>
    <t>Number of times chosen performance has occurred:</t>
  </si>
  <si>
    <t>Number of times chosen performance or worse occurred:</t>
  </si>
  <si>
    <t>Number of times chosen performance or better occurred:</t>
  </si>
  <si>
    <t>To apply the COUNTIF function to solving a problem click here.</t>
  </si>
  <si>
    <t>This chapter gives you links to our on-line resources whereby you can further advance your spreadsheet skills.</t>
  </si>
  <si>
    <t>Their answer:</t>
  </si>
  <si>
    <t>Correct</t>
  </si>
  <si>
    <t>Their</t>
  </si>
  <si>
    <t>correct</t>
  </si>
  <si>
    <t>their</t>
  </si>
  <si>
    <t>diff</t>
  </si>
  <si>
    <t>1st wrong index</t>
  </si>
  <si>
    <t>Message to give if their answer is wrong</t>
  </si>
  <si>
    <t>Message to give if another answer is wrong.</t>
  </si>
  <si>
    <t>Combine_4</t>
  </si>
  <si>
    <t>BTR12</t>
  </si>
  <si>
    <t>BTR13</t>
  </si>
  <si>
    <t>CAF09</t>
  </si>
  <si>
    <t>ABD16</t>
  </si>
  <si>
    <t>Max frequency</t>
  </si>
  <si>
    <t>Duplicates:</t>
  </si>
  <si>
    <t>--- Transactions ---</t>
  </si>
  <si>
    <t>Frequency of transactions</t>
  </si>
  <si>
    <r>
      <t>&lt;- =COUNTIF(</t>
    </r>
    <r>
      <rPr>
        <sz val="10"/>
        <color indexed="10"/>
        <rFont val="Arial"/>
      </rPr>
      <t>$A$3:$A$7</t>
    </r>
    <r>
      <rPr>
        <sz val="10"/>
        <rFont val="Arial"/>
      </rPr>
      <t>,</t>
    </r>
    <r>
      <rPr>
        <sz val="10"/>
        <color indexed="12"/>
        <rFont val="Arial"/>
      </rPr>
      <t>A3</t>
    </r>
    <r>
      <rPr>
        <sz val="10"/>
        <rFont val="Arial"/>
      </rPr>
      <t>)</t>
    </r>
  </si>
  <si>
    <t>Correct ans for this:</t>
  </si>
  <si>
    <t>Their ans for this</t>
  </si>
  <si>
    <t>Message if their answer for some other combination of inputs is incorrect</t>
  </si>
  <si>
    <t>Message if their answer for the current inputs is incorrect</t>
  </si>
  <si>
    <t>No answer given</t>
  </si>
  <si>
    <t>Answer is ok</t>
  </si>
  <si>
    <t>Message to return</t>
  </si>
  <si>
    <r>
      <t>&lt;- =COUNT(</t>
    </r>
    <r>
      <rPr>
        <sz val="10"/>
        <color indexed="10"/>
        <rFont val="Arial"/>
      </rPr>
      <t>B2:D3</t>
    </r>
    <r>
      <rPr>
        <sz val="10"/>
        <rFont val="Arial"/>
      </rPr>
      <t>)</t>
    </r>
  </si>
  <si>
    <r>
      <t>&lt;- =ABS(</t>
    </r>
    <r>
      <rPr>
        <sz val="10"/>
        <color indexed="12"/>
        <rFont val="Arial"/>
      </rPr>
      <t>A4</t>
    </r>
    <r>
      <rPr>
        <sz val="10"/>
        <rFont val="Arial"/>
      </rPr>
      <t>)</t>
    </r>
  </si>
  <si>
    <t>Brokerage</t>
  </si>
  <si>
    <t>Brokerage fee</t>
  </si>
  <si>
    <t>[%]</t>
  </si>
  <si>
    <t>[$,000's]</t>
  </si>
  <si>
    <r>
      <t>&lt;- =-</t>
    </r>
    <r>
      <rPr>
        <sz val="10"/>
        <color indexed="10"/>
        <rFont val="Arial"/>
      </rPr>
      <t>D2</t>
    </r>
    <r>
      <rPr>
        <sz val="10"/>
        <rFont val="Arial"/>
      </rPr>
      <t>*</t>
    </r>
    <r>
      <rPr>
        <sz val="10"/>
        <color indexed="12"/>
        <rFont val="Arial"/>
      </rPr>
      <t>D4</t>
    </r>
  </si>
  <si>
    <r>
      <t>&lt;- =-</t>
    </r>
    <r>
      <rPr>
        <sz val="10"/>
        <color indexed="10"/>
        <rFont val="Arial"/>
      </rPr>
      <t>D2</t>
    </r>
    <r>
      <rPr>
        <sz val="10"/>
        <rFont val="Arial"/>
      </rPr>
      <t>*ABS(</t>
    </r>
    <r>
      <rPr>
        <sz val="10"/>
        <color indexed="12"/>
        <rFont val="Arial"/>
      </rPr>
      <t>D4</t>
    </r>
    <r>
      <rPr>
        <sz val="10"/>
        <rFont val="Arial"/>
      </rPr>
      <t>)</t>
    </r>
  </si>
  <si>
    <r>
      <t>&lt;- =ABS(</t>
    </r>
    <r>
      <rPr>
        <sz val="10"/>
        <color indexed="10"/>
        <rFont val="Arial"/>
      </rPr>
      <t>A2:C2</t>
    </r>
    <r>
      <rPr>
        <sz val="10"/>
        <rFont val="Arial"/>
      </rPr>
      <t>)</t>
    </r>
  </si>
  <si>
    <r>
      <t>&lt;- =CHOOSE(</t>
    </r>
    <r>
      <rPr>
        <sz val="10"/>
        <color indexed="10"/>
        <rFont val="Arial"/>
      </rPr>
      <t>B4</t>
    </r>
    <r>
      <rPr>
        <sz val="10"/>
        <rFont val="Arial"/>
      </rPr>
      <t>,</t>
    </r>
    <r>
      <rPr>
        <sz val="10"/>
        <color indexed="12"/>
        <rFont val="Arial"/>
      </rPr>
      <t>B2</t>
    </r>
    <r>
      <rPr>
        <sz val="10"/>
        <rFont val="Arial"/>
      </rPr>
      <t>,</t>
    </r>
    <r>
      <rPr>
        <sz val="10"/>
        <color indexed="57"/>
        <rFont val="Arial"/>
      </rPr>
      <t>D2</t>
    </r>
    <r>
      <rPr>
        <sz val="10"/>
        <rFont val="Arial"/>
      </rPr>
      <t>,</t>
    </r>
    <r>
      <rPr>
        <sz val="10"/>
        <color indexed="52"/>
        <rFont val="Arial"/>
      </rPr>
      <t>F2</t>
    </r>
    <r>
      <rPr>
        <sz val="10"/>
        <rFont val="Arial"/>
      </rPr>
      <t>)</t>
    </r>
  </si>
  <si>
    <r>
      <t>&lt;- =AND(</t>
    </r>
    <r>
      <rPr>
        <sz val="10"/>
        <color indexed="10"/>
        <rFont val="Arial"/>
      </rPr>
      <t>B4</t>
    </r>
    <r>
      <rPr>
        <sz val="10"/>
        <rFont val="Arial"/>
      </rPr>
      <t>&lt;=</t>
    </r>
    <r>
      <rPr>
        <sz val="10"/>
        <color indexed="12"/>
        <rFont val="Arial"/>
      </rPr>
      <t>B2</t>
    </r>
    <r>
      <rPr>
        <sz val="10"/>
        <rFont val="Arial"/>
      </rPr>
      <t>,</t>
    </r>
    <r>
      <rPr>
        <sz val="10"/>
        <color indexed="57"/>
        <rFont val="Arial"/>
      </rPr>
      <t>C4</t>
    </r>
    <r>
      <rPr>
        <sz val="10"/>
        <rFont val="Arial"/>
      </rPr>
      <t>&lt;=</t>
    </r>
    <r>
      <rPr>
        <sz val="10"/>
        <color indexed="52"/>
        <rFont val="Arial"/>
      </rPr>
      <t>C2</t>
    </r>
    <r>
      <rPr>
        <sz val="10"/>
        <rFont val="Arial"/>
      </rPr>
      <t>)</t>
    </r>
  </si>
  <si>
    <r>
      <t>&lt;- =IF(AND(</t>
    </r>
    <r>
      <rPr>
        <sz val="10"/>
        <color indexed="10"/>
        <rFont val="Arial"/>
      </rPr>
      <t>B4</t>
    </r>
    <r>
      <rPr>
        <sz val="10"/>
        <rFont val="Arial"/>
      </rPr>
      <t>&lt;=</t>
    </r>
    <r>
      <rPr>
        <sz val="10"/>
        <color indexed="12"/>
        <rFont val="Arial"/>
      </rPr>
      <t>B2</t>
    </r>
    <r>
      <rPr>
        <sz val="10"/>
        <rFont val="Arial"/>
      </rPr>
      <t>,</t>
    </r>
    <r>
      <rPr>
        <sz val="10"/>
        <color indexed="57"/>
        <rFont val="Arial"/>
      </rPr>
      <t>C4</t>
    </r>
    <r>
      <rPr>
        <sz val="10"/>
        <rFont val="Arial"/>
      </rPr>
      <t>&lt;=</t>
    </r>
    <r>
      <rPr>
        <sz val="10"/>
        <color indexed="52"/>
        <rFont val="Arial"/>
      </rPr>
      <t>C2</t>
    </r>
    <r>
      <rPr>
        <sz val="10"/>
        <rFont val="Arial"/>
      </rPr>
      <t>),"within","outside")</t>
    </r>
  </si>
  <si>
    <r>
      <t>&lt;- =-</t>
    </r>
    <r>
      <rPr>
        <sz val="10"/>
        <color indexed="57"/>
        <rFont val="Arial"/>
      </rPr>
      <t>G2</t>
    </r>
    <r>
      <rPr>
        <sz val="10"/>
        <rFont val="Arial"/>
      </rPr>
      <t>*ABS(</t>
    </r>
    <r>
      <rPr>
        <sz val="10"/>
        <color indexed="52"/>
        <rFont val="Arial"/>
      </rPr>
      <t>G4</t>
    </r>
    <r>
      <rPr>
        <sz val="10"/>
        <rFont val="Arial"/>
      </rPr>
      <t>)</t>
    </r>
  </si>
  <si>
    <r>
      <t>&lt;- =SUM(CHOOSE(</t>
    </r>
    <r>
      <rPr>
        <sz val="10"/>
        <color indexed="10"/>
        <rFont val="Arial"/>
      </rPr>
      <t>B1</t>
    </r>
    <r>
      <rPr>
        <sz val="10"/>
        <rFont val="Arial"/>
      </rPr>
      <t>,</t>
    </r>
    <r>
      <rPr>
        <sz val="10"/>
        <color indexed="12"/>
        <rFont val="Arial"/>
      </rPr>
      <t>D1:E1</t>
    </r>
    <r>
      <rPr>
        <sz val="10"/>
        <rFont val="Arial"/>
      </rPr>
      <t>,</t>
    </r>
    <r>
      <rPr>
        <sz val="10"/>
        <color indexed="57"/>
        <rFont val="Arial"/>
      </rPr>
      <t>B3:C3</t>
    </r>
    <r>
      <rPr>
        <sz val="10"/>
        <rFont val="Arial"/>
      </rPr>
      <t>,</t>
    </r>
    <r>
      <rPr>
        <sz val="10"/>
        <color indexed="52"/>
        <rFont val="Arial"/>
      </rPr>
      <t>A5:C5</t>
    </r>
    <r>
      <rPr>
        <sz val="10"/>
        <rFont val="Arial"/>
      </rPr>
      <t>,</t>
    </r>
    <r>
      <rPr>
        <sz val="10"/>
        <color indexed="61"/>
        <rFont val="Arial"/>
      </rPr>
      <t>E3</t>
    </r>
    <r>
      <rPr>
        <sz val="10"/>
        <rFont val="Arial"/>
      </rPr>
      <t>,</t>
    </r>
    <r>
      <rPr>
        <sz val="10"/>
        <color indexed="8"/>
        <rFont val="Arial"/>
      </rPr>
      <t>E5</t>
    </r>
    <r>
      <rPr>
        <sz val="10"/>
        <rFont val="Arial"/>
      </rPr>
      <t>))</t>
    </r>
  </si>
  <si>
    <r>
      <t>&lt;- =AVERAGE(</t>
    </r>
    <r>
      <rPr>
        <sz val="10"/>
        <color indexed="10"/>
        <rFont val="Arial"/>
      </rPr>
      <t>A1</t>
    </r>
    <r>
      <rPr>
        <sz val="10"/>
        <rFont val="Arial"/>
      </rPr>
      <t>,</t>
    </r>
    <r>
      <rPr>
        <sz val="10"/>
        <color indexed="12"/>
        <rFont val="Arial"/>
      </rPr>
      <t>C1</t>
    </r>
    <r>
      <rPr>
        <sz val="10"/>
        <rFont val="Arial"/>
      </rPr>
      <t>)</t>
    </r>
  </si>
  <si>
    <r>
      <t>&lt;- =AVERAGE(</t>
    </r>
    <r>
      <rPr>
        <sz val="10"/>
        <color indexed="57"/>
        <rFont val="Arial"/>
      </rPr>
      <t>A3:C3</t>
    </r>
    <r>
      <rPr>
        <sz val="10"/>
        <rFont val="Arial"/>
      </rPr>
      <t>)</t>
    </r>
  </si>
  <si>
    <r>
      <t>&lt;- =AVERAGE(</t>
    </r>
    <r>
      <rPr>
        <sz val="10"/>
        <color indexed="52"/>
        <rFont val="Arial"/>
      </rPr>
      <t>A5:C5</t>
    </r>
    <r>
      <rPr>
        <sz val="10"/>
        <rFont val="Arial"/>
      </rPr>
      <t>)</t>
    </r>
  </si>
  <si>
    <r>
      <t>&lt;- =AVERAGE(</t>
    </r>
    <r>
      <rPr>
        <sz val="10"/>
        <color indexed="61"/>
        <rFont val="Arial"/>
      </rPr>
      <t>A7:C7</t>
    </r>
    <r>
      <rPr>
        <sz val="10"/>
        <rFont val="Arial"/>
      </rPr>
      <t>)</t>
    </r>
  </si>
  <si>
    <t>COUNT function</t>
  </si>
  <si>
    <t>COUNTIF function</t>
  </si>
  <si>
    <t>Forecast profit and revenue share</t>
  </si>
  <si>
    <t>Period ending</t>
  </si>
  <si>
    <t>Revenue Share (%)</t>
  </si>
  <si>
    <t>&lt;- Final formulae
    go here</t>
  </si>
  <si>
    <t>Gives an overview of this book - its purpose, format and use</t>
  </si>
  <si>
    <t>Continuing with our example - We find the brokerage fee to be $6,000 and it is a negative number.</t>
  </si>
  <si>
    <t>Number of most significant sensitivities to show in chart</t>
  </si>
  <si>
    <t>Interest rate sensitivity - calculation of sensitivity of cash flow value to each point on the rate curve</t>
  </si>
  <si>
    <r>
      <t>Overview</t>
    </r>
    <r>
      <rPr>
        <sz val="10"/>
        <rFont val="Arial"/>
      </rPr>
      <t xml:space="preserve">
On occasion we may want to focus on subsets of data rather than the whole data set.  In other words - we may want to filter the data and see only the filtered result.  The following is a simple example.</t>
    </r>
  </si>
  <si>
    <t>Scheduling events / cash flows</t>
  </si>
  <si>
    <t>One and two-dimensional retrieval of information that matches one or two criteria</t>
  </si>
  <si>
    <t>looking up</t>
  </si>
  <si>
    <t>prioritising</t>
  </si>
  <si>
    <t>ranking</t>
  </si>
  <si>
    <t>attributing</t>
  </si>
  <si>
    <t>scenario analysing</t>
  </si>
  <si>
    <t>scheduling</t>
  </si>
  <si>
    <t>The example below is a practical application of the five-argument version of the OFFSET function.  It solves a problem discussed earlier on this page - but in a different way.</t>
  </si>
  <si>
    <t>We want to find the average of "N" numbers.  "N" is chosen by the user (i.e. you) and can be 2, 3 or 4.  Look at the formula in F7 below.  We can see that the fourth argument of the OFFSET function is linked to cell C1 - the user's choice of "N".  So the OFFSET function passes a different "sized" column of cells to the AVERAGE depending on the user's choice.</t>
  </si>
  <si>
    <t>three argument form</t>
  </si>
  <si>
    <t>negative arguments</t>
  </si>
  <si>
    <t>five argument form</t>
  </si>
  <si>
    <t>used for scenarios</t>
  </si>
  <si>
    <t>Chapter 2</t>
  </si>
  <si>
    <t xml:space="preserve"> the reader can change.</t>
  </si>
  <si>
    <t>Chapter 3</t>
  </si>
  <si>
    <t xml:space="preserve">Elsewhere in this section we describe how to use the VLOOKUP and LOOKUP functions to read information from a table:  To do that we specify a "key" - an item to search for - and the lookup returns a corresponding value from the table.  This use of lookups is "one-dimensional" in that we specify a single key. </t>
  </si>
  <si>
    <t>But what if we have two keys? (e.g. a month and a division code, say)  Then we'd need to perform a two-dimensional lookup. The following examples show how to do this.</t>
  </si>
  <si>
    <t>Finding 1st, 2nd, 3rd and 4th quartiles</t>
  </si>
  <si>
    <t>Sorting dynamically</t>
  </si>
  <si>
    <t>Degree of difficulty (1=easy, 10=extremely difficult)</t>
  </si>
  <si>
    <t>This exercise involves counting conditionally.  The best formulae to use are either SUMPRODUCT or a combination of COUNTIF and IF.</t>
  </si>
  <si>
    <t>Please complete the answer.</t>
  </si>
  <si>
    <t>Your answer is correct.</t>
  </si>
  <si>
    <t>Status can be 1 , 2 or 3.  
1 = There is an error in at least one answer, 
2 = No answer has been given, 
3 = ok</t>
  </si>
  <si>
    <t>Month:</t>
  </si>
  <si>
    <t>and (including)</t>
  </si>
  <si>
    <t>Calculate the number of productive (i.e. uninterrupted) days in the selected month.  Your answer should work even if the information in the interruption schedule is changed (i.e. you shouldn't "hard-code" your answer.)</t>
  </si>
  <si>
    <t>All answers are correct</t>
  </si>
  <si>
    <t>1st wrong index &gt;&gt;</t>
  </si>
  <si>
    <t>&lt;status</t>
  </si>
  <si>
    <t xml:space="preserve">Your own </t>
  </si>
  <si>
    <t>Do you have suggestions of examples that could be added to the set above</t>
  </si>
  <si>
    <t>Performing lookups in two dimensions</t>
  </si>
  <si>
    <t>Interpolating to fill in gaps in data</t>
  </si>
  <si>
    <t>One might expect the CHOOSE to return 82 in this case (i.e. the second number in the A1:C1 range).  But CHOOSE works a different way.  The way it interprets "block" arguments (i.e. arguments that refer to a block of cells rather than just a single cell) is illustrated next.</t>
  </si>
  <si>
    <t>Index of topics</t>
  </si>
  <si>
    <t>Determining trends and patterns in data and predicting future values</t>
  </si>
  <si>
    <t>TREND</t>
  </si>
  <si>
    <t>Conditional formatting, Hyperlinking</t>
  </si>
  <si>
    <t>Logical functions</t>
  </si>
  <si>
    <t>Named ranges, Charts</t>
  </si>
  <si>
    <t>IF, OR</t>
  </si>
  <si>
    <t>Protecting cells, sheets and workbooks</t>
  </si>
  <si>
    <t>Date functions</t>
  </si>
  <si>
    <t>Formatting</t>
  </si>
  <si>
    <t>Merging cells</t>
  </si>
  <si>
    <t>Hiding rows and columns</t>
  </si>
  <si>
    <t>To build a model like this requires:</t>
  </si>
  <si>
    <t>● A good understanding of, and experience with, the spreadsheet functions and features above.</t>
  </si>
  <si>
    <t>● Finance and accounting knowledge.</t>
  </si>
  <si>
    <t>● An ability to think logically.</t>
  </si>
  <si>
    <t>● An ability to break a large, complex problem into smaller more manageable parts.</t>
  </si>
  <si>
    <t>AFMA - in conjunction with Tykoh Training - presents a Financial Modelling course that covers this model and others.  For more information please refer to:</t>
  </si>
  <si>
    <t>Web:</t>
  </si>
  <si>
    <t>Financial modelling course</t>
  </si>
  <si>
    <t>Contact:</t>
  </si>
  <si>
    <t>Jason Sheil | TEL: 02 9776 7914</t>
  </si>
  <si>
    <t>COUNT</t>
  </si>
  <si>
    <t>ABS</t>
  </si>
  <si>
    <t>Scenario_Analysing</t>
  </si>
  <si>
    <t>Valuing_Option</t>
  </si>
  <si>
    <t>Messages</t>
  </si>
  <si>
    <t>From http://www.clipartof.com/download</t>
  </si>
  <si>
    <t>Table of last columns</t>
  </si>
  <si>
    <t xml:space="preserve">     and</t>
  </si>
  <si>
    <t xml:space="preserve"> -</t>
  </si>
  <si>
    <t>Next page</t>
  </si>
  <si>
    <t>Previous page</t>
  </si>
  <si>
    <t>of functions used</t>
  </si>
  <si>
    <t>cross reference</t>
  </si>
  <si>
    <t xml:space="preserve">       Highlight crossing points</t>
  </si>
  <si>
    <t>Highlight duplicate transaction codes</t>
  </si>
  <si>
    <t>Show highlights</t>
  </si>
  <si>
    <t>Cross reference</t>
  </si>
  <si>
    <t>[See summary of answer status of all exercises].</t>
  </si>
  <si>
    <t>The RIGHT function works much the same as the LEFT function except that it takes the rightmost characters of a string.  The following interactive example lets you choose the number of characters returned by the RIGHT function.</t>
  </si>
  <si>
    <t>Text:</t>
  </si>
  <si>
    <t>This is a long piece of text</t>
  </si>
  <si>
    <t>Number characters returned from the string:</t>
  </si>
  <si>
    <r>
      <t>&lt;- =RIGHT(</t>
    </r>
    <r>
      <rPr>
        <sz val="10"/>
        <color indexed="10"/>
        <rFont val="Arial"/>
      </rPr>
      <t>B3</t>
    </r>
    <r>
      <rPr>
        <sz val="10"/>
        <rFont val="Arial"/>
      </rPr>
      <t>,</t>
    </r>
    <r>
      <rPr>
        <sz val="10"/>
        <color indexed="12"/>
        <rFont val="Arial"/>
      </rPr>
      <t>E1</t>
    </r>
    <r>
      <rPr>
        <sz val="10"/>
        <rFont val="Arial"/>
      </rPr>
      <t>)</t>
    </r>
  </si>
  <si>
    <r>
      <t xml:space="preserve">The brokerage is now positive.  According to the spreadsheet our broker will pay us to do the transaction.  This is obviously wrong.  The reason it's wrong is that the brokerage is always a cost irrespective of whether we're buying or selling.  In other words, the broker is concerned only with the </t>
    </r>
    <r>
      <rPr>
        <b/>
        <sz val="10"/>
        <rFont val="Arial"/>
        <family val="2"/>
      </rPr>
      <t>absolute value</t>
    </r>
    <r>
      <rPr>
        <sz val="10"/>
        <rFont val="Arial"/>
      </rPr>
      <t xml:space="preserve"> of our transaction and isn't concerned with whether it's a cash inflow or outflow for us.</t>
    </r>
  </si>
  <si>
    <t>Notice that the brokerage fee calculation is now correct (i.e. is a cost - a cash outlay) for both sales (in column D) and purchases (in column G).</t>
  </si>
  <si>
    <t>Participants on our courses have the opportunity to do on-line pre and post-course self-evaluations.</t>
  </si>
  <si>
    <t>Our Visual Basic course shows how to automate routine work and save the time and trouble of doing the same thing over and over</t>
  </si>
  <si>
    <t>Our Visual Basic course shows how to increase work efficiency by making shortcuts for common tasks</t>
  </si>
  <si>
    <t>Our Visual Basic course shows how to extend or change Microsoft Office products' functionality</t>
  </si>
  <si>
    <t>Our Visual Basic course shows how to integrate workflows across Microsoft Office applications</t>
  </si>
  <si>
    <t>Our Visual Basic course shows how to increase the "wow-factor" of your developed applications</t>
  </si>
  <si>
    <t>[For more information about logical tests and conditions click here.]</t>
  </si>
  <si>
    <t>[To carry out an exercise on compound IFs click here.]</t>
  </si>
  <si>
    <t>About this book</t>
  </si>
  <si>
    <t>Now look at the formula in C5 above.  This time the IF function's test isn't satisified since A5 isn't greater than B5.  So the third argument of the IF function is looked at.  The third argument is a whole other IF function =IF(A5=B5,"equal","less").  This function's test is satisfied (A5 does equal B5) and so it returns its second argument ("equal").</t>
  </si>
  <si>
    <t>In the formula in C7 both of the IF functions tests return FALSE and so the third argument of the last IF function is returned.</t>
  </si>
  <si>
    <t>The example below is an interactive version of the one above.</t>
  </si>
  <si>
    <t xml:space="preserve"> - Knowledge of the features and functions available in spreadsheets</t>
  </si>
  <si>
    <t>- An ability to think logically and to be able to break larger problems down into smaller ones</t>
  </si>
  <si>
    <t>- An ability to understand and interpret written material</t>
  </si>
  <si>
    <t>- Mathematical ability</t>
  </si>
  <si>
    <t>All of the exercises have a common format:  A problem is described, a small spreadsheet is given and you need to complete the spreadsheet to solve the problem.  Your formulae should be put into the cell(s) which have a bright yellow backgound.  Some of the exercise spreadsheets give you an additional "workspace".  At the bottom of each spreadsheet is a section titled "Status of your answer".  That section will inform you of your progress as you work you way through each exercise.</t>
  </si>
  <si>
    <t>This chapter contains a number of exercises.  To carry out the exercises you will need to apply your design skills.  The following are important skills to successfully build spreadsheet solutions:</t>
  </si>
  <si>
    <t>You will be able to exercise and develop your skills in all of the above areas if you carry out the tasks given in this chapter.</t>
  </si>
  <si>
    <t>In cell D5 AVERAGE is working with a similar set of cells as it did on row 3.  However, in this example, the "middle" cell has 0 explicitly in it instead of being empty.  We can see that this changes the result of the average from 2 to 1.3333</t>
  </si>
  <si>
    <t>In cell D7 AVERAGE's argument is a range that contains no numbers at all.  In this case AVERAGE's calculation is this:  =0/0.  You cannot divide by zero and so the error occurs.</t>
  </si>
  <si>
    <t>7</t>
  </si>
  <si>
    <r>
      <t xml:space="preserve">The highest level is concerned with </t>
    </r>
    <r>
      <rPr>
        <b/>
        <sz val="10"/>
        <rFont val="Arial"/>
        <family val="2"/>
      </rPr>
      <t>attributing</t>
    </r>
    <r>
      <rPr>
        <sz val="10"/>
        <rFont val="Arial"/>
      </rPr>
      <t>.  Here we look at how the enterprise value changes between two scenarios.  We "explain" that change in terms of the assumptions that differ between the scenarios.</t>
    </r>
  </si>
  <si>
    <t>The MID function returns the middle characters in a string.  The function takes three arguments.  The first argument is the string whose middle is being found.  The second argument specifies the position of the first character that will be returned (character numbering starts at 1).  The third parameter is the length of the returned string.</t>
  </si>
  <si>
    <t>Start position:</t>
  </si>
  <si>
    <t>Number characters:</t>
  </si>
  <si>
    <t>String:</t>
  </si>
  <si>
    <t>ABCDEF</t>
  </si>
  <si>
    <r>
      <t>&lt;- =MID(</t>
    </r>
    <r>
      <rPr>
        <sz val="10"/>
        <color indexed="10"/>
        <rFont val="Arial"/>
      </rPr>
      <t>B6</t>
    </r>
    <r>
      <rPr>
        <sz val="10"/>
        <rFont val="Arial"/>
      </rPr>
      <t>,</t>
    </r>
    <r>
      <rPr>
        <sz val="10"/>
        <color indexed="12"/>
        <rFont val="Arial"/>
      </rPr>
      <t>C1</t>
    </r>
    <r>
      <rPr>
        <sz val="10"/>
        <rFont val="Arial"/>
      </rPr>
      <t>,</t>
    </r>
    <r>
      <rPr>
        <sz val="10"/>
        <color indexed="57"/>
        <rFont val="Arial"/>
      </rPr>
      <t>C3</t>
    </r>
    <r>
      <rPr>
        <sz val="10"/>
        <rFont val="Arial"/>
      </rPr>
      <t>)</t>
    </r>
  </si>
  <si>
    <t>The LEN function returns the number of characters in a string.  The illustration below gives examples of the results returned by the LEN function.</t>
  </si>
  <si>
    <t>Z</t>
  </si>
  <si>
    <t>Zt</t>
  </si>
  <si>
    <t>2AC</t>
  </si>
  <si>
    <t>S D</t>
  </si>
  <si>
    <t xml:space="preserve">    T</t>
  </si>
  <si>
    <r>
      <t>&lt;- =LEN(</t>
    </r>
    <r>
      <rPr>
        <sz val="10"/>
        <color indexed="10"/>
        <rFont val="Arial"/>
      </rPr>
      <t>A1</t>
    </r>
    <r>
      <rPr>
        <sz val="10"/>
        <rFont val="Arial"/>
      </rPr>
      <t>)</t>
    </r>
  </si>
  <si>
    <r>
      <t>&lt;- =LEN(</t>
    </r>
    <r>
      <rPr>
        <sz val="10"/>
        <color indexed="12"/>
        <rFont val="Arial"/>
      </rPr>
      <t>A3</t>
    </r>
    <r>
      <rPr>
        <sz val="10"/>
        <rFont val="Arial"/>
      </rPr>
      <t>)</t>
    </r>
  </si>
  <si>
    <r>
      <t>&lt;- =LEN(</t>
    </r>
    <r>
      <rPr>
        <sz val="10"/>
        <color indexed="57"/>
        <rFont val="Arial"/>
      </rPr>
      <t>A5</t>
    </r>
    <r>
      <rPr>
        <sz val="10"/>
        <rFont val="Arial"/>
      </rPr>
      <t>)</t>
    </r>
  </si>
  <si>
    <r>
      <t>&lt;- =LEN(</t>
    </r>
    <r>
      <rPr>
        <sz val="10"/>
        <color indexed="52"/>
        <rFont val="Arial"/>
      </rPr>
      <t>A7</t>
    </r>
    <r>
      <rPr>
        <sz val="10"/>
        <rFont val="Arial"/>
      </rPr>
      <t>)</t>
    </r>
  </si>
  <si>
    <r>
      <t>&lt;- =LEN(</t>
    </r>
    <r>
      <rPr>
        <sz val="10"/>
        <color indexed="61"/>
        <rFont val="Arial"/>
      </rPr>
      <t>A9</t>
    </r>
    <r>
      <rPr>
        <sz val="10"/>
        <rFont val="Arial"/>
      </rPr>
      <t>)</t>
    </r>
  </si>
  <si>
    <t>[Counts the middle space]</t>
  </si>
  <si>
    <t>[Counts the leading spaces]</t>
  </si>
  <si>
    <t>Cubic spline interpolation.  A combination of functions is needed to achieve this.</t>
  </si>
  <si>
    <r>
      <t xml:space="preserve">Overview
</t>
    </r>
    <r>
      <rPr>
        <sz val="10"/>
        <rFont val="Arial"/>
      </rPr>
      <t xml:space="preserve">Interpolating involves "filling in the gaps" in numeric data.  The examples below all use the same data set. Note that, even with the same data set, different interpolation methods can give significantly different answers.  Which is the "correct" answer?  The appropriate method to use depends on the context.  </t>
    </r>
  </si>
  <si>
    <t>Below is an example showing the vector form of the LOOKUP function.  This form takes three arguments.</t>
  </si>
  <si>
    <t>If the lookup finds what it's looking for in the second position in the search column then it will return the second entry from the result column.</t>
  </si>
  <si>
    <t>- The first argument specifies what is being looked for.  In this case we're looking for a tax code of B (specified in cell A3).</t>
  </si>
  <si>
    <t>- The second argument specifies which column (or row) is being searched.  In this case we're searching column G.</t>
  </si>
  <si>
    <t>The ISNA function in G2 detects the status of the VLOOKUP in B2.  That lookup succeeds, the value it generates isn't #NA, and so ISNA returns FALSE.  The ISNA function in G4 detects the status of the VLOOKUP in B4.  That lookup fails and generates the result #NA.  In this case ISNA returns TRUE.</t>
  </si>
  <si>
    <r>
      <t>&lt;- =IF(ISNA(</t>
    </r>
    <r>
      <rPr>
        <sz val="10"/>
        <color indexed="52"/>
        <rFont val="Arial"/>
      </rPr>
      <t>B4</t>
    </r>
    <r>
      <rPr>
        <sz val="10"/>
        <rFont val="Arial"/>
      </rPr>
      <t>),"Lookup failed " &amp;</t>
    </r>
    <r>
      <rPr>
        <sz val="10"/>
        <color indexed="61"/>
        <rFont val="Arial"/>
      </rPr>
      <t>A4</t>
    </r>
    <r>
      <rPr>
        <sz val="10"/>
        <rFont val="Arial"/>
      </rPr>
      <t>&amp;" doesn't exist",</t>
    </r>
    <r>
      <rPr>
        <sz val="10"/>
        <color indexed="52"/>
        <rFont val="Arial"/>
      </rPr>
      <t>B4</t>
    </r>
    <r>
      <rPr>
        <sz val="10"/>
        <rFont val="Arial"/>
      </rPr>
      <t>)</t>
    </r>
  </si>
  <si>
    <t>In the example below we use VLOOKUP and MATCH functions to find the data.  The first argument of the VLOOKUP function specifies what we're looking for.  In this case the first argument is B1 which contains the month we're looking for.</t>
  </si>
  <si>
    <t>The second argument of the VLOOKUP specifies where we're looking for the data.  The second argument is I3:L14.  The leftmost column of this range (i.e. the I column) will be searched by the VLOOKUP to find the month specified in its first argument (i.e. the contents of cell B1).</t>
  </si>
  <si>
    <r>
      <t xml:space="preserve">So on row 7 our averaging formula begins like this
           </t>
    </r>
    <r>
      <rPr>
        <b/>
        <sz val="10"/>
        <rFont val="Arial"/>
        <family val="2"/>
      </rPr>
      <t>=AVERAGE(B7:</t>
    </r>
    <r>
      <rPr>
        <sz val="10"/>
        <rFont val="Arial"/>
      </rPr>
      <t xml:space="preserve">
The average for today uses todays data point.  The second part of the argument (i.e. the part after the ":") needs to be dynamically calculated by using the OFFSET function. 
 The second part is the following
            </t>
    </r>
    <r>
      <rPr>
        <b/>
        <sz val="10"/>
        <rFont val="Arial"/>
        <family val="2"/>
      </rPr>
      <t>OFFSET(B7,-($C$1-1,0))</t>
    </r>
  </si>
  <si>
    <t>List of sections that need links</t>
  </si>
  <si>
    <t>links_vb</t>
  </si>
  <si>
    <t>checkibookver.php</t>
  </si>
  <si>
    <t>vbfba.php</t>
  </si>
  <si>
    <t>server page</t>
  </si>
  <si>
    <t>link text</t>
  </si>
  <si>
    <t>Status of Exercises</t>
  </si>
  <si>
    <t>Following is the completion status of the exercises in this section.</t>
  </si>
  <si>
    <t>Completion status</t>
  </si>
  <si>
    <t>Degree of difficulty (*)</t>
  </si>
  <si>
    <t>Compound IF functions</t>
  </si>
  <si>
    <t>Attempted but incomplete</t>
  </si>
  <si>
    <t>Not attempted</t>
  </si>
  <si>
    <t>Completed</t>
  </si>
  <si>
    <t>Ex_4</t>
  </si>
  <si>
    <t>on complex lookups</t>
  </si>
  <si>
    <t>Complex</t>
  </si>
  <si>
    <t>lookups - exercise</t>
  </si>
  <si>
    <t>Complex lookups</t>
  </si>
  <si>
    <t>Correct answer:</t>
  </si>
  <si>
    <t>Between</t>
  </si>
  <si>
    <t>&lt;- Your answer</t>
  </si>
  <si>
    <t>Interruption schedule (inclusive</t>
  </si>
  <si>
    <t>start and end dates)</t>
  </si>
  <si>
    <t>... and</t>
  </si>
  <si>
    <t>You are modelling the operations of a business.  The operations will be impacted by the business's dependence on a critical resource.  That resource is expected to be unavailable over certain periods.  Those periods are described in the "Interruption schedule" below.</t>
  </si>
  <si>
    <t xml:space="preserve">There may be zero, one or more interruption periods in any month.  Interruption periods may span month ends and month beginnings.  An interruption period may be as short as one day or as long as several months.  An interruption period may already be in effect at the start of the selected month and another (or the same) may persist past the end of that month.  </t>
  </si>
  <si>
    <t>version of</t>
  </si>
  <si>
    <t>table of contents</t>
  </si>
  <si>
    <t>Duplicates</t>
  </si>
  <si>
    <t>duplicates</t>
  </si>
  <si>
    <t>using CHOOSE</t>
  </si>
  <si>
    <t>using OFFSET</t>
  </si>
  <si>
    <t>Indexx</t>
  </si>
  <si>
    <t>Cross reference of functions used in the examples / Summary</t>
  </si>
  <si>
    <r>
      <t>&lt;- =VLOOKUP(</t>
    </r>
    <r>
      <rPr>
        <sz val="10"/>
        <color indexed="10"/>
        <rFont val="Arial"/>
      </rPr>
      <t>A3</t>
    </r>
    <r>
      <rPr>
        <sz val="10"/>
        <rFont val="Arial"/>
      </rPr>
      <t>,</t>
    </r>
    <r>
      <rPr>
        <sz val="10"/>
        <color indexed="12"/>
        <rFont val="Arial"/>
      </rPr>
      <t>G3:G7</t>
    </r>
    <r>
      <rPr>
        <sz val="10"/>
        <rFont val="Arial"/>
      </rPr>
      <t>,2,TRUE)</t>
    </r>
  </si>
  <si>
    <r>
      <t>&lt;- =VLOOKUP(</t>
    </r>
    <r>
      <rPr>
        <sz val="10"/>
        <color indexed="10"/>
        <rFont val="Arial"/>
      </rPr>
      <t>C2</t>
    </r>
    <r>
      <rPr>
        <sz val="10"/>
        <rFont val="Arial"/>
      </rPr>
      <t>,</t>
    </r>
    <r>
      <rPr>
        <sz val="10"/>
        <color indexed="12"/>
        <rFont val="Arial"/>
      </rPr>
      <t>G3:H7</t>
    </r>
    <r>
      <rPr>
        <sz val="10"/>
        <rFont val="Arial"/>
      </rPr>
      <t>,2,</t>
    </r>
    <r>
      <rPr>
        <sz val="10"/>
        <color indexed="57"/>
        <rFont val="Arial"/>
      </rPr>
      <t>C4</t>
    </r>
    <r>
      <rPr>
        <sz val="10"/>
        <rFont val="Arial"/>
      </rPr>
      <t>)</t>
    </r>
  </si>
  <si>
    <t>For revenues other than 100, 200, 400 and 500 a "sliding scale applies".  For example, if the revenue is 300 (i.e. midway between 200 and 400), then the profit share is midway between 10% and 30%.  This "midway" scenario is shown by the orange line in the chart above.</t>
  </si>
  <si>
    <t>Having started at A2, moved down zero rows and moved across C5 columns we arrive at cell D2.  The result of all this is that scenario 3's growth rate (in D2) is shown in the chosen scenario growth rate cell (C6).  If the chosen scenario had been 4 then it would have been scenario 4's growth rate shown in C6.  We can see that the OFFSET function lets the user select a scenario growth rate by typing the scenario's number into C5.</t>
  </si>
  <si>
    <t>In its simplest version the OFFSET function takes three arguments.  We'll illustrate by using the following example in which a user needs to be able to select one of four scenarios. The scenarios are defined in the cells shown with a light yellow background.  Now look at the OFFSET formula in cell C6 below.
The OFFSET function's first argument is a "base" or "starting" position - A2 in this case.
The second argument specifies a row offset - it defines how many rows down to move from the base position.  In this case the row offset is zero so we don't move any rows away from the base (i.e. we stay on row 2).
The third argument specifies a column offset - it defines how many columns to the right we move from the base position.  In this case the column offset is determined by the number in C5.  The number in C5 is 3.  So we move three columns to the right from the base position.</t>
  </si>
  <si>
    <t>Calculations</t>
  </si>
  <si>
    <t>Status can be 1 , 2 or 3.  1 = There is an error in at least one answer, 2 = No answer has been given, 3 = ok</t>
  </si>
  <si>
    <t>Error message</t>
  </si>
  <si>
    <t>Interpolation</t>
  </si>
  <si>
    <t>index+1</t>
  </si>
  <si>
    <t>x(i)</t>
  </si>
  <si>
    <t>x(i+1)</t>
  </si>
  <si>
    <t>y(i)</t>
  </si>
  <si>
    <t>To stop interpolation line obscuring the chart</t>
  </si>
  <si>
    <t>y(i+1)</t>
  </si>
  <si>
    <t>Share</t>
  </si>
  <si>
    <t>mismatch</t>
  </si>
  <si>
    <t>answer ok</t>
  </si>
  <si>
    <t>err index</t>
  </si>
  <si>
    <t>Error in at least one answer</t>
  </si>
  <si>
    <t>All answers ok</t>
  </si>
  <si>
    <t>status</t>
  </si>
  <si>
    <t>Message</t>
  </si>
  <si>
    <r>
      <t>&lt;- =CHOOSE(1,</t>
    </r>
    <r>
      <rPr>
        <sz val="10"/>
        <color indexed="10"/>
        <rFont val="Arial"/>
      </rPr>
      <t>A1</t>
    </r>
    <r>
      <rPr>
        <sz val="10"/>
        <rFont val="Arial"/>
      </rPr>
      <t>,</t>
    </r>
    <r>
      <rPr>
        <sz val="10"/>
        <color indexed="12"/>
        <rFont val="Arial"/>
      </rPr>
      <t>C1</t>
    </r>
    <r>
      <rPr>
        <sz val="10"/>
        <rFont val="Arial"/>
      </rPr>
      <t>,</t>
    </r>
    <r>
      <rPr>
        <sz val="10"/>
        <color indexed="57"/>
        <rFont val="Arial"/>
      </rPr>
      <t>E1</t>
    </r>
    <r>
      <rPr>
        <sz val="10"/>
        <rFont val="Arial"/>
      </rPr>
      <t>)</t>
    </r>
  </si>
  <si>
    <r>
      <t>&lt;- =CHOOSE(2,</t>
    </r>
    <r>
      <rPr>
        <sz val="10"/>
        <color indexed="10"/>
        <rFont val="Arial"/>
      </rPr>
      <t>A1</t>
    </r>
    <r>
      <rPr>
        <sz val="10"/>
        <rFont val="Arial"/>
      </rPr>
      <t>,</t>
    </r>
    <r>
      <rPr>
        <sz val="10"/>
        <color indexed="12"/>
        <rFont val="Arial"/>
      </rPr>
      <t>C1</t>
    </r>
    <r>
      <rPr>
        <sz val="10"/>
        <rFont val="Arial"/>
      </rPr>
      <t>,</t>
    </r>
    <r>
      <rPr>
        <sz val="10"/>
        <color indexed="57"/>
        <rFont val="Arial"/>
      </rPr>
      <t>E1</t>
    </r>
    <r>
      <rPr>
        <sz val="10"/>
        <rFont val="Arial"/>
      </rPr>
      <t>)</t>
    </r>
  </si>
  <si>
    <r>
      <t>&lt;- =CHOOSE(4,</t>
    </r>
    <r>
      <rPr>
        <sz val="10"/>
        <color indexed="10"/>
        <rFont val="Arial"/>
      </rPr>
      <t>A1</t>
    </r>
    <r>
      <rPr>
        <sz val="10"/>
        <rFont val="Arial"/>
      </rPr>
      <t>,</t>
    </r>
    <r>
      <rPr>
        <sz val="10"/>
        <color indexed="12"/>
        <rFont val="Arial"/>
      </rPr>
      <t>C1</t>
    </r>
    <r>
      <rPr>
        <sz val="10"/>
        <rFont val="Arial"/>
      </rPr>
      <t>,</t>
    </r>
    <r>
      <rPr>
        <sz val="10"/>
        <color indexed="57"/>
        <rFont val="Arial"/>
      </rPr>
      <t>E1</t>
    </r>
    <r>
      <rPr>
        <sz val="10"/>
        <rFont val="Arial"/>
      </rPr>
      <t>)</t>
    </r>
  </si>
  <si>
    <r>
      <t>&lt;- =CHOOSE(2,</t>
    </r>
    <r>
      <rPr>
        <sz val="10"/>
        <color indexed="10"/>
        <rFont val="Arial"/>
      </rPr>
      <t>A1:C1</t>
    </r>
    <r>
      <rPr>
        <sz val="10"/>
        <rFont val="Arial"/>
      </rPr>
      <t>)</t>
    </r>
  </si>
  <si>
    <r>
      <t>&lt;- =SUM(CHOOSE(2,</t>
    </r>
    <r>
      <rPr>
        <sz val="10"/>
        <color indexed="10"/>
        <rFont val="Arial"/>
      </rPr>
      <t>A1:C1</t>
    </r>
    <r>
      <rPr>
        <sz val="10"/>
        <rFont val="Arial"/>
      </rPr>
      <t>,</t>
    </r>
    <r>
      <rPr>
        <sz val="10"/>
        <color indexed="12"/>
        <rFont val="Arial"/>
      </rPr>
      <t>A3:C3</t>
    </r>
    <r>
      <rPr>
        <sz val="10"/>
        <rFont val="Arial"/>
      </rPr>
      <t>,</t>
    </r>
    <r>
      <rPr>
        <sz val="10"/>
        <color indexed="57"/>
        <rFont val="Arial"/>
      </rPr>
      <t>A5:C5</t>
    </r>
    <r>
      <rPr>
        <sz val="10"/>
        <rFont val="Arial"/>
      </rPr>
      <t>))</t>
    </r>
  </si>
  <si>
    <r>
      <t>&lt;- =OFFSET(</t>
    </r>
    <r>
      <rPr>
        <sz val="10"/>
        <color indexed="10"/>
        <rFont val="Arial"/>
      </rPr>
      <t>A2</t>
    </r>
    <r>
      <rPr>
        <sz val="10"/>
        <rFont val="Arial"/>
      </rPr>
      <t>,0,</t>
    </r>
    <r>
      <rPr>
        <sz val="10"/>
        <color indexed="12"/>
        <rFont val="Arial"/>
      </rPr>
      <t>C5</t>
    </r>
    <r>
      <rPr>
        <sz val="10"/>
        <rFont val="Arial"/>
      </rPr>
      <t>)</t>
    </r>
  </si>
  <si>
    <r>
      <t>&lt;- =OFFSET(</t>
    </r>
    <r>
      <rPr>
        <sz val="10"/>
        <color indexed="10"/>
        <rFont val="Arial"/>
      </rPr>
      <t>B4</t>
    </r>
    <r>
      <rPr>
        <sz val="10"/>
        <rFont val="Arial"/>
      </rPr>
      <t>,-2,3)</t>
    </r>
  </si>
  <si>
    <r>
      <t>&lt;- =OFFSET(</t>
    </r>
    <r>
      <rPr>
        <sz val="10"/>
        <color indexed="10"/>
        <rFont val="Arial"/>
      </rPr>
      <t>$B5</t>
    </r>
    <r>
      <rPr>
        <sz val="10"/>
        <rFont val="Arial"/>
      </rPr>
      <t>,0,</t>
    </r>
    <r>
      <rPr>
        <sz val="10"/>
        <color indexed="12"/>
        <rFont val="Arial"/>
      </rPr>
      <t>$C$1</t>
    </r>
    <r>
      <rPr>
        <sz val="10"/>
        <rFont val="Arial"/>
      </rPr>
      <t>)</t>
    </r>
  </si>
  <si>
    <r>
      <t>&lt;- =AVERAGE(</t>
    </r>
    <r>
      <rPr>
        <sz val="10"/>
        <color indexed="10"/>
        <rFont val="Arial"/>
      </rPr>
      <t>B7</t>
    </r>
    <r>
      <rPr>
        <sz val="10"/>
        <rFont val="Arial"/>
      </rPr>
      <t>:OFFSET(</t>
    </r>
    <r>
      <rPr>
        <sz val="10"/>
        <color indexed="10"/>
        <rFont val="Arial"/>
      </rPr>
      <t>B7</t>
    </r>
    <r>
      <rPr>
        <sz val="10"/>
        <rFont val="Arial"/>
      </rPr>
      <t>,-(</t>
    </r>
    <r>
      <rPr>
        <sz val="10"/>
        <color indexed="12"/>
        <rFont val="Arial"/>
      </rPr>
      <t>$C$1</t>
    </r>
    <r>
      <rPr>
        <sz val="10"/>
        <rFont val="Arial"/>
      </rPr>
      <t>-1),0))</t>
    </r>
  </si>
  <si>
    <r>
      <t>&lt;- =SUM(OFFSET(</t>
    </r>
    <r>
      <rPr>
        <sz val="10"/>
        <color indexed="10"/>
        <rFont val="Arial"/>
      </rPr>
      <t>$C$2</t>
    </r>
    <r>
      <rPr>
        <sz val="10"/>
        <rFont val="Arial"/>
      </rPr>
      <t>,0,0,1,1))</t>
    </r>
  </si>
  <si>
    <r>
      <t>&lt;- =SUM(OFFSET(</t>
    </r>
    <r>
      <rPr>
        <sz val="10"/>
        <color indexed="10"/>
        <rFont val="Arial"/>
      </rPr>
      <t>$C$2</t>
    </r>
    <r>
      <rPr>
        <sz val="10"/>
        <rFont val="Arial"/>
      </rPr>
      <t>,0,0,1,2))</t>
    </r>
  </si>
  <si>
    <r>
      <t>&lt;- =SUM(OFFSET(</t>
    </r>
    <r>
      <rPr>
        <sz val="10"/>
        <color indexed="10"/>
        <rFont val="Arial"/>
      </rPr>
      <t>$C$2</t>
    </r>
    <r>
      <rPr>
        <sz val="10"/>
        <rFont val="Arial"/>
      </rPr>
      <t>,0,0,2,1))</t>
    </r>
  </si>
  <si>
    <r>
      <t>&lt;- =SUM(OFFSET(</t>
    </r>
    <r>
      <rPr>
        <sz val="10"/>
        <color indexed="10"/>
        <rFont val="Arial"/>
      </rPr>
      <t>$C$2</t>
    </r>
    <r>
      <rPr>
        <sz val="10"/>
        <rFont val="Arial"/>
      </rPr>
      <t>,0,0,2,2))</t>
    </r>
  </si>
  <si>
    <r>
      <t>&lt;- =AVERAGE(OFFSET(</t>
    </r>
    <r>
      <rPr>
        <sz val="10"/>
        <color indexed="10"/>
        <rFont val="Arial"/>
      </rPr>
      <t>B7</t>
    </r>
    <r>
      <rPr>
        <sz val="10"/>
        <rFont val="Arial"/>
      </rPr>
      <t>,0,0,-(</t>
    </r>
    <r>
      <rPr>
        <sz val="10"/>
        <color indexed="12"/>
        <rFont val="Arial"/>
      </rPr>
      <t>$C$1</t>
    </r>
    <r>
      <rPr>
        <sz val="10"/>
        <rFont val="Arial"/>
      </rPr>
      <t>-1),1))</t>
    </r>
  </si>
  <si>
    <r>
      <t>&lt;- SUM(</t>
    </r>
    <r>
      <rPr>
        <sz val="10"/>
        <color indexed="10"/>
        <rFont val="Arial"/>
      </rPr>
      <t>B2,</t>
    </r>
    <r>
      <rPr>
        <sz val="10"/>
        <color indexed="12"/>
        <rFont val="Arial"/>
      </rPr>
      <t>B4)</t>
    </r>
  </si>
  <si>
    <r>
      <t>&lt;- =</t>
    </r>
    <r>
      <rPr>
        <sz val="10"/>
        <color indexed="10"/>
        <rFont val="Arial"/>
      </rPr>
      <t>B2</t>
    </r>
    <r>
      <rPr>
        <sz val="10"/>
        <rFont val="Arial"/>
      </rPr>
      <t>+</t>
    </r>
    <r>
      <rPr>
        <sz val="10"/>
        <color indexed="12"/>
        <rFont val="Arial"/>
      </rPr>
      <t>B4</t>
    </r>
  </si>
  <si>
    <r>
      <t>&lt;- =VLOOKUP(</t>
    </r>
    <r>
      <rPr>
        <sz val="10"/>
        <color indexed="10"/>
        <rFont val="Arial"/>
      </rPr>
      <t>A3</t>
    </r>
    <r>
      <rPr>
        <sz val="10"/>
        <rFont val="Arial"/>
      </rPr>
      <t>,</t>
    </r>
    <r>
      <rPr>
        <sz val="10"/>
        <color indexed="12"/>
        <rFont val="Arial"/>
      </rPr>
      <t>G3:H7</t>
    </r>
    <r>
      <rPr>
        <sz val="10"/>
        <rFont val="Arial"/>
      </rPr>
      <t>,2,FALSE)</t>
    </r>
  </si>
  <si>
    <r>
      <t>&lt;- =VLOOKUP(</t>
    </r>
    <r>
      <rPr>
        <sz val="10"/>
        <color indexed="10"/>
        <rFont val="Arial"/>
      </rPr>
      <t>A3</t>
    </r>
    <r>
      <rPr>
        <sz val="10"/>
        <rFont val="Arial"/>
      </rPr>
      <t>,</t>
    </r>
    <r>
      <rPr>
        <sz val="10"/>
        <color indexed="12"/>
        <rFont val="Arial"/>
      </rPr>
      <t>G3:H7</t>
    </r>
    <r>
      <rPr>
        <sz val="10"/>
        <rFont val="Arial"/>
      </rPr>
      <t>,2,TRUE)</t>
    </r>
  </si>
  <si>
    <r>
      <t>&lt;- =IF(</t>
    </r>
    <r>
      <rPr>
        <sz val="10"/>
        <color indexed="52"/>
        <rFont val="Arial"/>
      </rPr>
      <t>C9</t>
    </r>
    <r>
      <rPr>
        <sz val="10"/>
        <rFont val="Arial"/>
      </rPr>
      <t>&gt;1,"Yes","No")</t>
    </r>
  </si>
  <si>
    <r>
      <t>&lt;- =MAX(</t>
    </r>
    <r>
      <rPr>
        <sz val="10"/>
        <color indexed="57"/>
        <rFont val="Arial"/>
      </rPr>
      <t>D3:D7</t>
    </r>
    <r>
      <rPr>
        <sz val="10"/>
        <rFont val="Arial"/>
      </rPr>
      <t>)</t>
    </r>
  </si>
  <si>
    <t>&lt;- =COUNTIF($A$3:$A$7,A4)</t>
  </si>
  <si>
    <t>&lt;- =COUNTIF($A$3:$A$7,A5)</t>
  </si>
  <si>
    <t>&lt;- =COUNTIF($A$3:$A$7,A6)</t>
  </si>
  <si>
    <t>&lt;- =COUNTIF($A$3:$A$7,A7)</t>
  </si>
  <si>
    <t>North</t>
  </si>
  <si>
    <t>East</t>
  </si>
  <si>
    <t>South</t>
  </si>
  <si>
    <t>West</t>
  </si>
  <si>
    <t>MAX &amp; MIN functions</t>
  </si>
  <si>
    <t>Amount over budget</t>
  </si>
  <si>
    <t>Deptartment</t>
  </si>
  <si>
    <t>Budgeted expenses</t>
  </si>
  <si>
    <r>
      <t>&lt;- =MAX(</t>
    </r>
    <r>
      <rPr>
        <sz val="10"/>
        <color indexed="57"/>
        <rFont val="Arial"/>
      </rPr>
      <t>C6:F6</t>
    </r>
    <r>
      <rPr>
        <sz val="10"/>
        <rFont val="Arial"/>
      </rPr>
      <t>)</t>
    </r>
  </si>
  <si>
    <r>
      <t>&lt;- =</t>
    </r>
    <r>
      <rPr>
        <sz val="10"/>
        <color indexed="10"/>
        <rFont val="Arial"/>
      </rPr>
      <t>F2</t>
    </r>
    <r>
      <rPr>
        <sz val="10"/>
        <rFont val="Arial"/>
      </rPr>
      <t>-</t>
    </r>
    <r>
      <rPr>
        <sz val="10"/>
        <color indexed="12"/>
        <rFont val="Arial"/>
      </rPr>
      <t>F4</t>
    </r>
  </si>
  <si>
    <r>
      <t>&lt;- =MIN(</t>
    </r>
    <r>
      <rPr>
        <sz val="10"/>
        <color indexed="10"/>
        <rFont val="Arial"/>
      </rPr>
      <t>A2:B2</t>
    </r>
    <r>
      <rPr>
        <sz val="10"/>
        <rFont val="Arial"/>
      </rPr>
      <t>,</t>
    </r>
    <r>
      <rPr>
        <sz val="10"/>
        <color indexed="12"/>
        <rFont val="Arial"/>
      </rPr>
      <t>A4:C4</t>
    </r>
    <r>
      <rPr>
        <sz val="10"/>
        <rFont val="Arial"/>
      </rPr>
      <t>)</t>
    </r>
  </si>
  <si>
    <t>Facility limit Account #1</t>
  </si>
  <si>
    <t>Acc. #1 deposit / (withdrawal)</t>
  </si>
  <si>
    <t>Acc. #2 deposit / (withdrawal)</t>
  </si>
  <si>
    <t>Cash surplus / (need)</t>
  </si>
  <si>
    <t>Opening acc. #1 balance</t>
  </si>
  <si>
    <t>Opening acc. #2 balance</t>
  </si>
  <si>
    <t>Closing ac #1 balance</t>
  </si>
  <si>
    <t>Closing ac #2 balance</t>
  </si>
  <si>
    <t>Studied how the "building blocks" in Chapter 2 can be combined to build "mini-applications" (in Chapter 3)</t>
  </si>
  <si>
    <t>Ex_Acc_Bal</t>
  </si>
  <si>
    <t>Allowed inputs</t>
  </si>
  <si>
    <t>1st mismatch</t>
  </si>
  <si>
    <t>Current answer is ok</t>
  </si>
  <si>
    <t>theirs</t>
  </si>
  <si>
    <t>msg if current answer is wrong</t>
  </si>
  <si>
    <t>msg if another answer is wrong</t>
  </si>
  <si>
    <t>msg to return</t>
  </si>
  <si>
    <t>Final result</t>
  </si>
  <si>
    <t>but here's some anyway.</t>
  </si>
  <si>
    <t>overall status</t>
  </si>
  <si>
    <t>all answers correct</t>
  </si>
  <si>
    <t>Overall status</t>
  </si>
  <si>
    <t>Status can be 1 , 2 or 3.  
1 = There is an error in at least one answer (incomplete)
2 = No answer has been given, 
3 = ok</t>
  </si>
  <si>
    <t>No answers given</t>
  </si>
  <si>
    <t>Closing acc. #1 balance</t>
  </si>
  <si>
    <t>Closing acc. #2 balance</t>
  </si>
  <si>
    <t>An example of how the ISNA function can be used is shown in cell A6 above: IF and ISNA are used together to inform the user if the lookup fails.  Note that the error message we generate is much more user friendly and informative than is #NA.</t>
  </si>
  <si>
    <t>Interactive example</t>
  </si>
  <si>
    <t>The example below is interactive.  You can select a department. Depending on whether or not the selected department is found and appropriate result is returned.</t>
  </si>
  <si>
    <t>VLOOKUP is an "expensive" function in terms of the load it imposes on computers so it's best to minimise their use.  The example above uses VLOOKUP twice in the formula in B8.  If many such calculations are to be done its probably better to split the formula into two seperate cells and to use VLOOKUP only once.</t>
  </si>
  <si>
    <t>Exercises in our spreadsheet skills and modelling courses give you instant feedback of your progress.</t>
  </si>
  <si>
    <t>Feedback from our Visual Basic course: "Good use of examples to solidify knowledge"</t>
  </si>
  <si>
    <t>Feedback from our Visual Basic course: "The material covered will be very useful at work as the CD and workbook provided"</t>
  </si>
  <si>
    <t>Feedback from our Financial Modelling course: "Understanding the complex Excel tips was very beneficial"</t>
  </si>
  <si>
    <t>Feedback from our Financial Modelling course: "Lots of practical examples used in the workshop"</t>
  </si>
  <si>
    <t>Feedback from our Financial Modelling course: "The DVD will be very helpful!"</t>
  </si>
  <si>
    <t>In the following example we take a time-series and average it over 1 to 8 periods.  Also, optionally, we highlight the times at which the averaged data "crosses" the source data.</t>
  </si>
  <si>
    <t>Averaging reduces the information content of a set of data and summarises that data in a concise but representative form.  Averaging can be across various dimensions - including that of time.  By averaging over time we reduce the "noiseiness" of data to discern trends and slower-moving features.</t>
  </si>
  <si>
    <t>Profit before tax</t>
  </si>
  <si>
    <t>Taxes</t>
  </si>
  <si>
    <t>Profit after tax</t>
  </si>
  <si>
    <t>Dividends</t>
  </si>
  <si>
    <t>Earnings retained</t>
  </si>
  <si>
    <t>Balance sheet</t>
  </si>
  <si>
    <t>Cash</t>
  </si>
  <si>
    <t>Current assets</t>
  </si>
  <si>
    <t>Fixed assets</t>
  </si>
  <si>
    <t xml:space="preserve">  at cost</t>
  </si>
  <si>
    <t xml:space="preserve">  accumulated depreciation</t>
  </si>
  <si>
    <t xml:space="preserve">  net fixed assets</t>
  </si>
  <si>
    <t>Total assets</t>
  </si>
  <si>
    <t>Current liabilities</t>
  </si>
  <si>
    <t>Debt</t>
  </si>
  <si>
    <t>Stock</t>
  </si>
  <si>
    <t>Accumulated retained earnings</t>
  </si>
  <si>
    <t>Total liabilities and equity</t>
  </si>
  <si>
    <t>Cash flow statement</t>
  </si>
  <si>
    <t>Cash flow from operating activities</t>
  </si>
  <si>
    <t>Plus depreciation</t>
  </si>
  <si>
    <t>Changes in working capital</t>
  </si>
  <si>
    <t xml:space="preserve">  less increase in current assets</t>
  </si>
  <si>
    <t xml:space="preserve">  plus increase in current liabilities</t>
  </si>
  <si>
    <t>Net cash from operating activities</t>
  </si>
  <si>
    <t>Cash flow from investing activities</t>
  </si>
  <si>
    <t>Capex</t>
  </si>
  <si>
    <t>Net cash used in investing activities</t>
  </si>
  <si>
    <t>Cash flow from financing activities</t>
  </si>
  <si>
    <t>Dividends paid</t>
  </si>
  <si>
    <t>Net cash from financing</t>
  </si>
  <si>
    <t>Net increase in cash</t>
  </si>
  <si>
    <t>Free cash flow</t>
  </si>
  <si>
    <t>Less increase in current assets</t>
  </si>
  <si>
    <t>Plus increase in current liabilities</t>
  </si>
  <si>
    <t>Less increase in fixed assets at cost</t>
  </si>
  <si>
    <t>Plus after tax interest on debt</t>
  </si>
  <si>
    <t>Less after tax interest on cash</t>
  </si>
  <si>
    <t>ISNA function</t>
  </si>
  <si>
    <t>The ISNA function</t>
  </si>
  <si>
    <t>The AND function</t>
  </si>
  <si>
    <t>AND function</t>
  </si>
  <si>
    <t>OR function</t>
  </si>
  <si>
    <t>The OR function</t>
  </si>
  <si>
    <t>ABS function</t>
  </si>
  <si>
    <t>The ABS function</t>
  </si>
  <si>
    <t>Valuation</t>
  </si>
  <si>
    <t>Free cash flow (FCF)</t>
  </si>
  <si>
    <t>Terminal value [ FCF * multiple]</t>
  </si>
  <si>
    <t>Total</t>
  </si>
  <si>
    <t>NPV</t>
  </si>
  <si>
    <t>Plus cash</t>
  </si>
  <si>
    <t>Enterprise value</t>
  </si>
  <si>
    <t>Less debt</t>
  </si>
  <si>
    <t>Equity value</t>
  </si>
  <si>
    <t>Terminal value multiple (TVM)</t>
  </si>
  <si>
    <t>Cost of goods sold / sales</t>
  </si>
  <si>
    <t>Interpolation table</t>
  </si>
  <si>
    <t>Value to interpolate</t>
  </si>
  <si>
    <t>Grouping interval (days)</t>
  </si>
  <si>
    <t>Aggegation (grouping) interval</t>
  </si>
  <si>
    <t>Number of transactions in interval</t>
  </si>
  <si>
    <t>Aggregating</t>
  </si>
  <si>
    <t>Interpolating</t>
  </si>
  <si>
    <t>Period</t>
  </si>
  <si>
    <t>Averaged data</t>
  </si>
  <si>
    <t>A</t>
  </si>
  <si>
    <t>B</t>
  </si>
  <si>
    <t>Highlight top "N" amounts</t>
  </si>
  <si>
    <t>Highlight duplicate transactions</t>
  </si>
  <si>
    <t xml:space="preserve">   Highlight transactions beginning with</t>
  </si>
  <si>
    <t>Highlight transactions that are similar</t>
  </si>
  <si>
    <t>Highlight transactions on alternate lines</t>
  </si>
  <si>
    <t>FFB-38</t>
  </si>
  <si>
    <t>Jan</t>
  </si>
  <si>
    <t>Feb</t>
  </si>
  <si>
    <t>Mar</t>
  </si>
  <si>
    <t>Apr</t>
  </si>
  <si>
    <t>May</t>
  </si>
  <si>
    <t>Jun</t>
  </si>
  <si>
    <t>Jul</t>
  </si>
  <si>
    <t>Aug</t>
  </si>
  <si>
    <t>Sep</t>
  </si>
  <si>
    <t>Oct</t>
  </si>
  <si>
    <t>Nov</t>
  </si>
  <si>
    <t>Dec</t>
  </si>
  <si>
    <t>Answer</t>
  </si>
  <si>
    <t>Averaging</t>
  </si>
  <si>
    <t>Charting</t>
  </si>
  <si>
    <t>Highlighting</t>
  </si>
  <si>
    <t>Filtering</t>
  </si>
  <si>
    <t>Ranking</t>
  </si>
  <si>
    <t>VLOOKUP</t>
  </si>
  <si>
    <t>Adj Close</t>
  </si>
  <si>
    <t>Start date</t>
  </si>
  <si>
    <r>
      <t>&lt;- =IF(ROWS(</t>
    </r>
    <r>
      <rPr>
        <sz val="10"/>
        <color indexed="10"/>
        <rFont val="Arial"/>
      </rPr>
      <t>A2:C5</t>
    </r>
    <r>
      <rPr>
        <sz val="10"/>
        <rFont val="Arial"/>
      </rPr>
      <t>)*COLUMNS(</t>
    </r>
    <r>
      <rPr>
        <sz val="10"/>
        <color indexed="10"/>
        <rFont val="Arial"/>
      </rPr>
      <t>A2:C5</t>
    </r>
    <r>
      <rPr>
        <sz val="10"/>
        <rFont val="Arial"/>
      </rPr>
      <t>)&lt;&gt;COUNT(</t>
    </r>
    <r>
      <rPr>
        <sz val="10"/>
        <color indexed="10"/>
        <rFont val="Arial"/>
      </rPr>
      <t>A2:C5</t>
    </r>
    <r>
      <rPr>
        <sz val="10"/>
        <rFont val="Arial"/>
      </rPr>
      <t>),"Error","ok")</t>
    </r>
  </si>
  <si>
    <t>In cell D3 we use AVERAGE to find the average of a block of cells: A3:C3.  Note that cell B3 is empty and that AVERAGE is ignoring that cell.  So the calcuation it is making is this:  =(1 + 3)/2 = 2.  If AVERAGE had included B3 in its calculation it would have arrived at a different result:  =(1 + 0 + 3)/3 = 1.333.</t>
  </si>
  <si>
    <t>index.php</t>
  </si>
  <si>
    <t>The example above shows the most common usage of the SUMPRODUCT function.  But there is another usage that allows us to perform complex logical and arithmetic calculations.  We'll introduce this alternative usage in a phased way.  We'll look first at how TRUE and FALSE are represented in spreadsheets, then we'll look at how SUMPRODUCT can process arrays of TRUEs and FALSEs, and last we'll look at doing complex conditional calculations with SUMPRODUCT.</t>
  </si>
  <si>
    <t>We've seen above how the SUMPRODUCT function works with two columns of numbers.  In the example below we are doing the same as above.  The only difference is that all of the numbers are 0s or 1s.</t>
  </si>
  <si>
    <t>SUMPRODUCT working with TRUEs and FALSEs</t>
  </si>
  <si>
    <t>TRUE=1 and FALSE=0</t>
  </si>
  <si>
    <t>The example below is very similar to the example shown in the earlier section (SUMPRODUCT working with 0s and 1s).  There are two small differences:</t>
  </si>
  <si>
    <t>In the illustration below we have a two dimensional table showing data by month (in rows) and years (in columns).  We want to retrieve data from the table by month and year.  We might, for example, want the data for July, 2008.</t>
  </si>
  <si>
    <t>What the MATCH function does:</t>
  </si>
  <si>
    <t>What the MATCH functions do:</t>
  </si>
  <si>
    <t>"Row" MATCH:</t>
  </si>
  <si>
    <t>"Column" MATCH:</t>
  </si>
  <si>
    <r>
      <t>&lt;- =MATCH(</t>
    </r>
    <r>
      <rPr>
        <i/>
        <sz val="10"/>
        <color indexed="12"/>
        <rFont val="Arial"/>
        <family val="2"/>
      </rPr>
      <t>B1</t>
    </r>
    <r>
      <rPr>
        <i/>
        <sz val="10"/>
        <rFont val="Arial"/>
        <family val="2"/>
      </rPr>
      <t>,</t>
    </r>
    <r>
      <rPr>
        <i/>
        <sz val="10"/>
        <color indexed="57"/>
        <rFont val="Arial"/>
        <family val="2"/>
      </rPr>
      <t>I3:I14</t>
    </r>
    <r>
      <rPr>
        <i/>
        <sz val="10"/>
        <rFont val="Arial"/>
        <family val="2"/>
      </rPr>
      <t>,0)</t>
    </r>
  </si>
  <si>
    <r>
      <t>&lt;- =MATCH(</t>
    </r>
    <r>
      <rPr>
        <i/>
        <sz val="10"/>
        <color indexed="52"/>
        <rFont val="Arial"/>
        <family val="2"/>
      </rPr>
      <t>B3</t>
    </r>
    <r>
      <rPr>
        <i/>
        <sz val="10"/>
        <rFont val="Arial"/>
        <family val="2"/>
      </rPr>
      <t>,</t>
    </r>
    <r>
      <rPr>
        <i/>
        <sz val="10"/>
        <color indexed="61"/>
        <rFont val="Arial"/>
        <family val="2"/>
      </rPr>
      <t>J1:L1</t>
    </r>
    <r>
      <rPr>
        <i/>
        <sz val="10"/>
        <rFont val="Arial"/>
        <family val="2"/>
      </rPr>
      <t>,0)</t>
    </r>
  </si>
  <si>
    <r>
      <t>&lt;- =MATCH(</t>
    </r>
    <r>
      <rPr>
        <i/>
        <sz val="10"/>
        <color indexed="57"/>
        <rFont val="Arial"/>
        <family val="2"/>
      </rPr>
      <t>B3</t>
    </r>
    <r>
      <rPr>
        <i/>
        <sz val="10"/>
        <rFont val="Arial"/>
        <family val="2"/>
      </rPr>
      <t>,</t>
    </r>
    <r>
      <rPr>
        <i/>
        <sz val="10"/>
        <color indexed="52"/>
        <rFont val="Arial"/>
        <family val="2"/>
      </rPr>
      <t>I1:L1</t>
    </r>
    <r>
      <rPr>
        <i/>
        <sz val="10"/>
        <rFont val="Arial"/>
        <family val="2"/>
      </rPr>
      <t>,0)</t>
    </r>
  </si>
  <si>
    <t>An additional complication is that numbers in the unsorted column can be duplicated. The duplicates may have different "pairs".</t>
  </si>
  <si>
    <t>This is how the checking formula in B7 works.  We begin by finding the number of rows in the range by using the ROWS function.  We multiply the number of rows by the number of columns to find the number of cells in our range.  Then we compare that number with that returned by the COUNT function.  If the two numbers are different there has been an error and the IF function returns "Error".  Otherwise it returns "Ok".</t>
  </si>
  <si>
    <t>Explanation - If you look in cell B3 in the second example you'll notice it contains '7 (i.e. apostrophe and 7).  The apostrophe makes the cell behave as text in some ways and as a number in other ways.  COUNTA will not count this cell and so an error is reported.</t>
  </si>
  <si>
    <t>You might say that this test is redundant since it is obvious whether the cells are all numbers or not.  But that's not true.  Compare the example above with the one below.  They appear the same but the second is in error.  Why is that?  Try to observe the cause.  After that, if you click on the "Show explanation" checkbox below an explanation will be shown.</t>
  </si>
  <si>
    <r>
      <t>&lt;- =COUNTIF(</t>
    </r>
    <r>
      <rPr>
        <sz val="10"/>
        <color indexed="10"/>
        <rFont val="Arial"/>
      </rPr>
      <t>C2:H2</t>
    </r>
    <r>
      <rPr>
        <sz val="10"/>
        <rFont val="Arial"/>
      </rPr>
      <t>,"&lt;="&amp;</t>
    </r>
    <r>
      <rPr>
        <sz val="10"/>
        <color indexed="12"/>
        <rFont val="Arial"/>
      </rPr>
      <t>D4</t>
    </r>
    <r>
      <rPr>
        <sz val="10"/>
        <rFont val="Arial"/>
      </rPr>
      <t>)</t>
    </r>
  </si>
  <si>
    <r>
      <t>&lt;- =COUNTIF(</t>
    </r>
    <r>
      <rPr>
        <sz val="10"/>
        <color indexed="10"/>
        <rFont val="Arial"/>
      </rPr>
      <t>C2:H2</t>
    </r>
    <r>
      <rPr>
        <sz val="10"/>
        <rFont val="Arial"/>
      </rPr>
      <t>,"=A")</t>
    </r>
  </si>
  <si>
    <t>The third argument of the VLOOKUP specifies which column of I3:L14 to retrieve the data from.  We can't "hard-code" this number because the column will depend on which year the user has selected in cell B3.  So we "dynamically" calculate the column by using a MATCH function.  Look at the MATCH function in cell B12.  That function calculates which column we need to retrieve our data from.</t>
  </si>
  <si>
    <r>
      <t xml:space="preserve">The MATCH function's first argument specifies what it is looking for.  In this case it's B3 which contains the year the user selects.  The second argument specifies which range the MATCH will search.  In this case it's I1:L1.  The last argument is 0 and that makes the MATCH function look for an exact match for the item being looked for.  The MATCH function will return the </t>
    </r>
    <r>
      <rPr>
        <b/>
        <sz val="10"/>
        <rFont val="Arial"/>
        <family val="2"/>
      </rPr>
      <t>position</t>
    </r>
    <r>
      <rPr>
        <sz val="10"/>
        <rFont val="Arial"/>
      </rPr>
      <t xml:space="preserve"> (not value) of the item being looked for.</t>
    </r>
  </si>
  <si>
    <t>Now back to the VLOOKUP function in B5.  We've seen how the MATCH function calculates which column of I3:L14 to retrieve data from.  Column numbering starts at 1 in the leftmost column of the VLOOKUPs second argument (i.e. Column 1 = Column I, Column 2 = Column J, Column 3 = Column K and Column 4 = Column L).</t>
  </si>
  <si>
    <t>The last argument of the VLOOKUP is FALSE.  That makes the VLOOKUP require an exact match for the item being looked for.</t>
  </si>
  <si>
    <t>Method 1</t>
  </si>
  <si>
    <t>Method 2</t>
  </si>
  <si>
    <t>We can solve the lookup problem another way:  We can use MATCH and OFFSET rather than MATCH and VLOOKUP.  The following example shows how to do this.</t>
  </si>
  <si>
    <t>We can provide a mix of classroom, internet and self learning teaching.</t>
  </si>
  <si>
    <t>We can tailor courses to specific audiences - e.g. audiences with a derivatives focus.</t>
  </si>
  <si>
    <t>The model should update all calcuations and charts automatically whenever a scenario is chosen or when any of the base case or scenario assumptions is changed.  This means, for example, that the "bridge chart" should be able to dynamically change the numb</t>
  </si>
  <si>
    <t>● Making the model user friendly.</t>
  </si>
  <si>
    <t>The model should be easy and intuitive to use and its outputs should be easy to interpret.</t>
  </si>
  <si>
    <t>The spreadsheet functions and tools used in this model are:</t>
  </si>
  <si>
    <t>Aggregation functions</t>
  </si>
  <si>
    <t>Financial functions</t>
  </si>
  <si>
    <t>SUM, COUNT</t>
  </si>
  <si>
    <t>Referencing functions</t>
  </si>
  <si>
    <t>Features</t>
  </si>
  <si>
    <t>MATCH, OFFSET</t>
  </si>
  <si>
    <t>Data tables, Data validation</t>
  </si>
  <si>
    <r>
      <t>&lt;- =MATCH("B",</t>
    </r>
    <r>
      <rPr>
        <sz val="10"/>
        <color indexed="10"/>
        <rFont val="Arial"/>
      </rPr>
      <t>$C$2:$G$2</t>
    </r>
    <r>
      <rPr>
        <sz val="10"/>
        <rFont val="Arial"/>
      </rPr>
      <t>,0)</t>
    </r>
  </si>
  <si>
    <r>
      <t>&lt;- =MATCH("D",</t>
    </r>
    <r>
      <rPr>
        <sz val="10"/>
        <color indexed="10"/>
        <rFont val="Arial"/>
      </rPr>
      <t>$C$2:$G$2</t>
    </r>
    <r>
      <rPr>
        <sz val="10"/>
        <rFont val="Arial"/>
      </rPr>
      <t>,0)</t>
    </r>
  </si>
  <si>
    <r>
      <t>&lt;- =MATCH("A",</t>
    </r>
    <r>
      <rPr>
        <sz val="10"/>
        <color indexed="10"/>
        <rFont val="Arial"/>
      </rPr>
      <t>$C$2:$G$2</t>
    </r>
    <r>
      <rPr>
        <sz val="10"/>
        <rFont val="Arial"/>
      </rPr>
      <t>,1)</t>
    </r>
  </si>
  <si>
    <r>
      <t>&lt;- =MATCH("D",</t>
    </r>
    <r>
      <rPr>
        <sz val="10"/>
        <color indexed="10"/>
        <rFont val="Arial"/>
      </rPr>
      <t>$C$2:$G$2</t>
    </r>
    <r>
      <rPr>
        <sz val="10"/>
        <rFont val="Arial"/>
      </rPr>
      <t>,-1)</t>
    </r>
  </si>
  <si>
    <t>In decreasing order</t>
  </si>
  <si>
    <t>Looking up</t>
  </si>
  <si>
    <t>About</t>
  </si>
  <si>
    <t>Length</t>
  </si>
  <si>
    <t>Please choose a scenario -&gt;</t>
  </si>
  <si>
    <t>Calculations for piecewise linear interpolation</t>
  </si>
  <si>
    <t>Calculations for stepped interpolation</t>
  </si>
  <si>
    <t>Drawing the horizontal parts of the various series</t>
  </si>
  <si>
    <t>Drawing the risers between the steps</t>
  </si>
  <si>
    <t>xref</t>
  </si>
  <si>
    <t>Your_own</t>
  </si>
  <si>
    <t>Month to look up</t>
  </si>
  <si>
    <t>Year to look up</t>
  </si>
  <si>
    <t>Start month to look up</t>
  </si>
  <si>
    <t>End month to look up</t>
  </si>
  <si>
    <t>Start year to look up</t>
  </si>
  <si>
    <t>End year to look up</t>
  </si>
  <si>
    <t>2D lookup #1</t>
  </si>
  <si>
    <t>2D lookup #2</t>
  </si>
  <si>
    <t>Total of selected amounts:</t>
  </si>
  <si>
    <t>Statistical - line of best fit - interpolation</t>
  </si>
  <si>
    <t>Data points</t>
  </si>
  <si>
    <t>Calculations for line of best fit</t>
  </si>
  <si>
    <t>line of best fit</t>
  </si>
  <si>
    <t>interpolated point</t>
  </si>
  <si>
    <t>Column</t>
  </si>
  <si>
    <t>Shift type</t>
  </si>
  <si>
    <t>Sensitising index</t>
  </si>
  <si>
    <t>Sensitivity factor</t>
  </si>
  <si>
    <t>Number to show</t>
  </si>
  <si>
    <t xml:space="preserve">Threshold to show </t>
  </si>
  <si>
    <t>Assumption</t>
  </si>
  <si>
    <t>Shifted</t>
  </si>
  <si>
    <t>Now that we've introduced the concept of functions and arguments we'll describe some of the most useful spreadsheet functions.  In this chapter the functions are ordered alphabetically.</t>
  </si>
  <si>
    <t>Task</t>
  </si>
  <si>
    <t>C</t>
  </si>
  <si>
    <t>D</t>
  </si>
  <si>
    <t>E</t>
  </si>
  <si>
    <t>F</t>
  </si>
  <si>
    <t>Prerequisite</t>
  </si>
  <si>
    <t>&lt;none&gt;</t>
  </si>
  <si>
    <t>Error reporting</t>
  </si>
  <si>
    <t>Start</t>
  </si>
  <si>
    <t>End</t>
  </si>
  <si>
    <t>Option type</t>
  </si>
  <si>
    <t>Show on chart</t>
  </si>
  <si>
    <t>Risk free rate</t>
  </si>
  <si>
    <t>x</t>
  </si>
  <si>
    <t>y</t>
  </si>
  <si>
    <t>See Wolfram article on splines for explanation of this D matrix.</t>
  </si>
  <si>
    <t>Inverse</t>
  </si>
  <si>
    <t>t</t>
  </si>
  <si>
    <t>D / b</t>
  </si>
  <si>
    <t>a / y</t>
  </si>
  <si>
    <t>c</t>
  </si>
  <si>
    <t>D/b</t>
  </si>
  <si>
    <t>a/y</t>
  </si>
  <si>
    <t>t'</t>
  </si>
  <si>
    <t>spline</t>
  </si>
  <si>
    <t>X value to interpolate</t>
  </si>
  <si>
    <t>Claim</t>
  </si>
  <si>
    <t>Funds available</t>
  </si>
  <si>
    <t>Allocations of funds to claims A-E</t>
  </si>
  <si>
    <t>Scheduling</t>
  </si>
  <si>
    <t>IF</t>
  </si>
  <si>
    <t>Looking_Up</t>
  </si>
  <si>
    <t>Aggegated results</t>
  </si>
  <si>
    <t>Highlight the top "N" amounts:</t>
  </si>
  <si>
    <t>Back to top</t>
  </si>
  <si>
    <t>Claim A has highest priority, claim E has lowest.</t>
  </si>
  <si>
    <t>Requirement</t>
  </si>
  <si>
    <t>Claims A - E have equal priority and are serviced on a pro-rata'd basis</t>
  </si>
  <si>
    <t>Averaging period</t>
  </si>
  <si>
    <t>H</t>
  </si>
  <si>
    <t>I</t>
  </si>
  <si>
    <t>J</t>
  </si>
  <si>
    <t>K</t>
  </si>
  <si>
    <t>L</t>
  </si>
  <si>
    <t>index</t>
  </si>
  <si>
    <t>Term</t>
  </si>
  <si>
    <t>Q1</t>
  </si>
  <si>
    <t>Q2</t>
  </si>
  <si>
    <t>Q3</t>
  </si>
  <si>
    <t>Q4</t>
  </si>
  <si>
    <t>First payment</t>
  </si>
  <si>
    <t>Interpolated rate</t>
  </si>
  <si>
    <t>Interpolated rate calcs</t>
  </si>
  <si>
    <t>Has value</t>
  </si>
  <si>
    <t>Index left</t>
  </si>
  <si>
    <t>Index right</t>
  </si>
  <si>
    <t>Value left</t>
  </si>
  <si>
    <t>Value right</t>
  </si>
  <si>
    <t>Valuation rate</t>
  </si>
  <si>
    <t>Rate point index</t>
  </si>
  <si>
    <t>quarter</t>
  </si>
  <si>
    <t>(years)</t>
  </si>
  <si>
    <t>Interest rates (zero coupon):</t>
  </si>
  <si>
    <t>OFFSET</t>
  </si>
  <si>
    <t>Charting - values within a defined date range</t>
  </si>
  <si>
    <t>Data</t>
  </si>
  <si>
    <t xml:space="preserve">    Series to chart</t>
  </si>
  <si>
    <t xml:space="preserve">Charting - one of a series </t>
  </si>
  <si>
    <t>MAX</t>
  </si>
  <si>
    <t>MIN</t>
  </si>
  <si>
    <t>LEN</t>
  </si>
  <si>
    <t>AND</t>
  </si>
  <si>
    <t>SUMPRODUCT</t>
  </si>
  <si>
    <t>Conditional format</t>
  </si>
  <si>
    <t>AVERAGE</t>
  </si>
  <si>
    <t>SUM</t>
  </si>
  <si>
    <t>Data Table</t>
  </si>
  <si>
    <t>MATCH</t>
  </si>
  <si>
    <t>TEXT</t>
  </si>
  <si>
    <t>LARGE</t>
  </si>
  <si>
    <t>COUNTIF</t>
  </si>
  <si>
    <t>LEFT</t>
  </si>
  <si>
    <t>ROW</t>
  </si>
  <si>
    <t>MOD</t>
  </si>
  <si>
    <t>ISNA</t>
  </si>
  <si>
    <t>MINVERSE</t>
  </si>
  <si>
    <t>MMULT</t>
  </si>
  <si>
    <t>INT</t>
  </si>
  <si>
    <t>CODE</t>
  </si>
  <si>
    <t>MID</t>
  </si>
  <si>
    <t>RIGHT</t>
  </si>
  <si>
    <t>CHOOSE</t>
  </si>
  <si>
    <t>OR</t>
  </si>
  <si>
    <t>EOMONTH</t>
  </si>
  <si>
    <t>XNPV</t>
  </si>
  <si>
    <t>Arrays</t>
  </si>
  <si>
    <t>SQRT</t>
  </si>
  <si>
    <t>LN</t>
  </si>
  <si>
    <t>NORMSDIST</t>
  </si>
  <si>
    <t>EXP</t>
  </si>
  <si>
    <t>o</t>
  </si>
  <si>
    <t>year</t>
  </si>
  <si>
    <t>Chosen</t>
  </si>
  <si>
    <t>Base</t>
  </si>
  <si>
    <t>Current assets / sales</t>
  </si>
  <si>
    <t>Net fixed assets / sales</t>
  </si>
  <si>
    <t>Output / Equity value</t>
  </si>
  <si>
    <t>Non-cash current assets</t>
  </si>
  <si>
    <t>Drive model from this page</t>
  </si>
  <si>
    <t>Equity data table</t>
  </si>
  <si>
    <t>Scenario number</t>
  </si>
  <si>
    <t>Merge level</t>
  </si>
  <si>
    <t>Items in chart</t>
  </si>
  <si>
    <t>Chosen scenario</t>
  </si>
  <si>
    <t>Chart title</t>
  </si>
  <si>
    <t>Value axis title</t>
  </si>
  <si>
    <t>Used for</t>
  </si>
  <si>
    <t>Scenario</t>
  </si>
  <si>
    <t>Differ</t>
  </si>
  <si>
    <t>Merged</t>
  </si>
  <si>
    <t>Filtered</t>
  </si>
  <si>
    <t>Start / End</t>
  </si>
  <si>
    <t>Height</t>
  </si>
  <si>
    <t>Example of a model from AFMA's Financial Modelling course</t>
  </si>
  <si>
    <t>Use the model</t>
  </si>
  <si>
    <t>What does this model do?</t>
  </si>
  <si>
    <t>Budget</t>
  </si>
  <si>
    <t>Actual</t>
  </si>
  <si>
    <t>In the example above the item being looked for - C - doesn't exist in the lookup table.  VLOOKUP returns a rate of 5% - which is A's tax rate.  A is the "nearest" the lookup finds to C.  Why does the VLOOKUP choose A's tax rate rather than D's? After all "D" is closer to "C" than is "A".  This is how VLOOKUP's searching works:
VLOOKUP assumes the search column is sorted in increasing order.  VLOOKUP starts at the top of the search column and scans down through that column until it finds the first item that is greater than (or equal to) the item being searched for.  In this example VLOOKUP will step down the search column till it hits "D".  It then realises it has "gone too far" and "backs up" one row.  It arrives on the row with A.  And A's tax rate is what VLOOKUP returns.</t>
  </si>
  <si>
    <t>For a "nearest" lookup to work the search column has to be in sorted ascending order.  If it is not then the results will be unpredictable or wrong.  Consider the following example.  The search column isn't in sorted order ("C" appears before "A").  The lookup fails.  The reason it fails is that the lookup expects the search column to be sorted in ascending order.  The first item it sees is "C".  It's looking for B and so "gives up" straight away and returns an error.</t>
  </si>
  <si>
    <t>The LARGE function returns the largest number from a group.  More generally, the function returns the "Nth" largest number.  The function takes two parameters.  The first parameter is a reference to a cell or group of cells.  The second parameter is a number that indicates "how large".  If the second parameter is 1 then the largest number in the range is returned, if 2 then the second largest is returned, and so on.</t>
  </si>
  <si>
    <t>"Nth" largest to show:</t>
  </si>
  <si>
    <t>fn_LARGE</t>
  </si>
  <si>
    <t>Sales figures</t>
  </si>
  <si>
    <t>1st quartile sales:</t>
  </si>
  <si>
    <t>3rd quartile sales:</t>
  </si>
  <si>
    <r>
      <t>&lt;- =LARGE(</t>
    </r>
    <r>
      <rPr>
        <sz val="10"/>
        <color indexed="10"/>
        <rFont val="Arial"/>
      </rPr>
      <t>A2:H7</t>
    </r>
    <r>
      <rPr>
        <sz val="10"/>
        <rFont val="Arial"/>
      </rPr>
      <t>,COUNT(</t>
    </r>
    <r>
      <rPr>
        <sz val="10"/>
        <color indexed="10"/>
        <rFont val="Arial"/>
      </rPr>
      <t>A2:H7</t>
    </r>
    <r>
      <rPr>
        <sz val="10"/>
        <rFont val="Arial"/>
      </rPr>
      <t>)*0.25)</t>
    </r>
  </si>
  <si>
    <r>
      <t>&lt;- =LARGE(</t>
    </r>
    <r>
      <rPr>
        <sz val="10"/>
        <color indexed="10"/>
        <rFont val="Arial"/>
      </rPr>
      <t>A2:H7</t>
    </r>
    <r>
      <rPr>
        <sz val="10"/>
        <rFont val="Arial"/>
      </rPr>
      <t>,COUNT(</t>
    </r>
    <r>
      <rPr>
        <sz val="10"/>
        <color indexed="10"/>
        <rFont val="Arial"/>
      </rPr>
      <t>A2:H7</t>
    </r>
    <r>
      <rPr>
        <sz val="10"/>
        <rFont val="Arial"/>
      </rPr>
      <t>)*0.75)</t>
    </r>
  </si>
  <si>
    <t>The MATCH function takes three arguments.  The first argument specifies what is being searched for, the second item specifies the row or column that is searched, and the last argument determines the kind of search done.</t>
  </si>
  <si>
    <t>Consider the example shown below.  Look at the MATCH function in cell A4.  The first argument is "A".  So the MATCH function will search for A.  The second argument is $C$2:$G$2.  This specifies the cells the MATCH function will search.  So the function will search for "A" in the cells $C$2:$G$2.  The third argument is 0.  The third argument specifies whether MATCH returns an error if it doesn't find what it's looking for, or whether it returns the nearest it can find.  A third argument of 0 - as in this case - requires the function to return an exact match or an error if it cannot find an exact match.</t>
  </si>
  <si>
    <t>The MATCH function in cell A5 searchs for "B".  "B" is fifth in the search list and so the function returns 5.</t>
  </si>
  <si>
    <t>In cell A6 the MATCH function searches for "D".  However, "D" isn't in the search list and, because the MATCH is required to find an exact match and one isn't found, an error is returned.</t>
  </si>
  <si>
    <r>
      <t>&lt;- =MATCH("F",</t>
    </r>
    <r>
      <rPr>
        <sz val="10"/>
        <color indexed="10"/>
        <rFont val="Arial"/>
      </rPr>
      <t>$C$2:$G$2</t>
    </r>
    <r>
      <rPr>
        <sz val="10"/>
        <rFont val="Arial"/>
      </rPr>
      <t>,1)</t>
    </r>
  </si>
  <si>
    <r>
      <t>&lt;- =MATCH("C",</t>
    </r>
    <r>
      <rPr>
        <sz val="10"/>
        <color indexed="10"/>
        <rFont val="Arial"/>
      </rPr>
      <t>$C$2:$G$2</t>
    </r>
    <r>
      <rPr>
        <sz val="10"/>
        <rFont val="Arial"/>
      </rPr>
      <t>,1)</t>
    </r>
  </si>
  <si>
    <t>The formula in cell A5 shows what happens if the item being searched for isn't found.  "F" is being searched for but isn't in the list.  The MATCH returns 3 which is the position of "E" in the list.  So the MATCH function (when the third argument is 1) returns the position of the largest item that is less than or equal to what is being searched for.</t>
  </si>
  <si>
    <t>In the example below "A" is found in the first position of the search list so the MATCH function returns 1 - the position of the "A" in the list.</t>
  </si>
  <si>
    <r>
      <t xml:space="preserve">If the third argument of the MATCH is a 1 then the function will return the nearest match it can find.  For the function to work reliably in this case the search list must be sorted in </t>
    </r>
    <r>
      <rPr>
        <b/>
        <sz val="10"/>
        <rFont val="Arial"/>
        <family val="2"/>
      </rPr>
      <t>ascending</t>
    </r>
    <r>
      <rPr>
        <sz val="10"/>
        <rFont val="Arial"/>
      </rPr>
      <t xml:space="preserve"> order.  The example below shows how the MATCH function works in this case.</t>
    </r>
  </si>
  <si>
    <t>If there is an exact match the function will return the position of the MATCH.  This case is shown in cell A4 below.  The MATCH is searching for C and finds it in the second position.</t>
  </si>
  <si>
    <t>The formula in cell A6 shows what happens when the item being searched for is less than - i.e. before - the first item in the search list:  An error is returned.</t>
  </si>
  <si>
    <t>Third argument of 0 - exact match required</t>
  </si>
  <si>
    <t>Third argument of 1 - nearest match in ascending list</t>
  </si>
  <si>
    <t>Third argument of -1 - nearest match in descending list</t>
  </si>
  <si>
    <r>
      <t xml:space="preserve">If the third argument is -1 then the MATCH function will return the position of the nearest match.  For this to work reliably the search list must be sorted in </t>
    </r>
    <r>
      <rPr>
        <b/>
        <sz val="10"/>
        <rFont val="Arial"/>
        <family val="2"/>
      </rPr>
      <t>descending</t>
    </r>
    <r>
      <rPr>
        <sz val="10"/>
        <rFont val="Arial"/>
      </rPr>
      <t xml:space="preserve"> order.</t>
    </r>
  </si>
  <si>
    <t>In this example we use the LEFT function to get the leftmost character of each product code in A6:A13.  We then use the SUMPRODUCT function to find the number of times the left character equals the character we want to count.  We need to use a "trick" with SUMPRODUCT.  We multiply by 1 because SUMPRODUCT needs to have at least two things to multiply together.</t>
  </si>
  <si>
    <t>If you find the example above a bit difficult to follow - and it is fairly complex - then look at the example below.  It solves the same problem in much the same way as above but uses extra spreadsheet cells for "intermediate" calculations.  Note the "dummy" column of TRUEs in column G.  These are needed because the SUMPRODUCT needs at least two arguments to multiply together.</t>
  </si>
  <si>
    <t>Look at the calculation in cell C9.  In that cell we are calculating whether Dept A's budget in 2009 exceeded the actual figure in 2009.  The result of that particular calculation is FALSE.  There are similar calculations in the other cells in B9:C12.</t>
  </si>
  <si>
    <t>Number of years of consecutive growth</t>
  </si>
  <si>
    <t>---- Growth data ----</t>
  </si>
  <si>
    <t>On row 7 we calculate the cumulative cash flows.</t>
  </si>
  <si>
    <t>On row 9 we check whether the cumulative cash flow is greater than zero.  If it is then we "remember" the year in which that occurred.  If the cash flow is not greater than zero we indicate that with an "NA".</t>
  </si>
  <si>
    <t>Last, we use a MIN function in cell C12 to find the smallest (i.e. first) year in row 9. Note that MIN "ignores" the NAs rather than interpreting them as zero - for if MIN had treated NA as zero the payback year would have been calculated as zero.</t>
  </si>
  <si>
    <t>The example above is interactive.  You can change the cash flow in cell D4 to alter the payback year.</t>
  </si>
  <si>
    <t>The example below illustrates how the MATCH function works in this case.  The function is searching for "D" but "D" isn't in the search list.  The MATCH returns 2 - which is the position of "F".  In this case the MATCH function returns the position of the smallest item that is greater than or equal to the search item.</t>
  </si>
  <si>
    <t>Sample application of the MATCH function</t>
  </si>
  <si>
    <t># years</t>
  </si>
  <si>
    <r>
      <t>&lt;- =IF(</t>
    </r>
    <r>
      <rPr>
        <sz val="10"/>
        <color indexed="57"/>
        <rFont val="Arial"/>
      </rPr>
      <t>B3</t>
    </r>
    <r>
      <rPr>
        <sz val="10"/>
        <rFont val="Arial"/>
      </rPr>
      <t>&gt;0,SUM(</t>
    </r>
    <r>
      <rPr>
        <sz val="10"/>
        <color indexed="52"/>
        <rFont val="Arial"/>
      </rPr>
      <t>C2</t>
    </r>
    <r>
      <rPr>
        <sz val="10"/>
        <rFont val="Arial"/>
      </rPr>
      <t>,1),0)</t>
    </r>
  </si>
  <si>
    <r>
      <t>&lt;- =</t>
    </r>
    <r>
      <rPr>
        <sz val="10"/>
        <color indexed="10"/>
        <rFont val="Arial"/>
      </rPr>
      <t>A3</t>
    </r>
    <r>
      <rPr>
        <sz val="10"/>
        <rFont val="Arial"/>
      </rPr>
      <t>-1 +MATCH(</t>
    </r>
    <r>
      <rPr>
        <sz val="10"/>
        <color indexed="12"/>
        <rFont val="Arial"/>
      </rPr>
      <t>E16</t>
    </r>
    <r>
      <rPr>
        <sz val="10"/>
        <rFont val="Arial"/>
      </rPr>
      <t>,</t>
    </r>
    <r>
      <rPr>
        <sz val="10"/>
        <color indexed="57"/>
        <rFont val="Arial"/>
      </rPr>
      <t>C3:C14</t>
    </r>
    <r>
      <rPr>
        <sz val="10"/>
        <rFont val="Arial"/>
      </rPr>
      <t>,0)</t>
    </r>
  </si>
  <si>
    <t>The following illustration shows an application of the MATCH function.  This is the background to the application.  We have a set of growth figures.  In some years growth has been negative (as marked by -1's in column B below) and in other years it was positive (as marked by 1's).  We want to know the first year in which growth had been positive "N" years in a row.  "N" is set by the user (i.e. you) in cell E16.</t>
  </si>
  <si>
    <t>We begin by working out a way to determine when there have been "N" consecutive years of positive growth.  A good way to do that is as shown by the formula in cell C3.</t>
  </si>
  <si>
    <r>
      <t xml:space="preserve">We can then use the MATCH function to find the first position in column C of "N".  That is done in cell A19 in this part of the formula:  </t>
    </r>
    <r>
      <rPr>
        <b/>
        <sz val="10"/>
        <rFont val="Arial"/>
        <family val="2"/>
      </rPr>
      <t>MATCH(E16,C3:C14,0)</t>
    </r>
  </si>
  <si>
    <t>Next</t>
  </si>
  <si>
    <t>Reviewed some of the important spreadsheet functions (in Chapter 2)</t>
  </si>
  <si>
    <t>Chapter 1 - Sample Spreadsheet Applications</t>
  </si>
  <si>
    <t>Chapter 2 - Functions</t>
  </si>
  <si>
    <t>Chapter 3 - Combining Functions</t>
  </si>
  <si>
    <t>Chapter 4 - Exercises</t>
  </si>
  <si>
    <t>Chapter 5 - Next steps</t>
  </si>
  <si>
    <t>Chapter 1</t>
  </si>
  <si>
    <t>fn_SUM</t>
  </si>
  <si>
    <t>fn_SUMPRODUCT</t>
  </si>
  <si>
    <t>Combine_1</t>
  </si>
  <si>
    <t>In Chapter 2 we saw some examples of completed spreadsheet applications.  And at the end of Chapter 2 is a table that lists all of the spreadsheet functions used to develop the sample applications.
In Chapter 3 we described most of the functions that were used in Chapter 2.  We listed the functions one by one and explained how they worked and gave illustrations of how they behaved.</t>
  </si>
  <si>
    <t>To fnd the quartiles we can use the LARGE and COUNT functions as shown below.</t>
  </si>
  <si>
    <t>Suppose you have a set of sales figures as shown below. We want to know the 1st and 3rd quartile sales figures.  The 1st quartile sales figure is the one that is at the lowest end of the top 25% sales.  The 3rd quartile sales figure is the highest one in the bottom 25% sales.</t>
  </si>
  <si>
    <t>The LARGE function tells us which is the "Nth" largest in a range.  The LARGE function's first argument is the range being counted.  The second argument is N.  So if, for example, we want to find the 25th biggest number in the range A2:H7 we could find that number by using LARGE(A2:H7, 25). If there were 100 numbers in the range A2:H7 then the number we would then obtain would be the 1st quartile sales figure.  But if there are only 25 numbers in the range then we'd need to scale down the number in the second argument to 12.</t>
  </si>
  <si>
    <t>In the example above we calculate the second argument of the LARGE function by using the COUNT function.  The COUNT function tells how many numbers there are in the given range.  We then multiply the number returned by COUNT by 0.25 to find the 1st quartile sales.  We multiply by 0.75 to find the 3rd quarter sales.</t>
  </si>
  <si>
    <t>Combine_2</t>
  </si>
  <si>
    <t>Copyright (c) 2009 Tykoh Group Pty Limited</t>
  </si>
  <si>
    <t>Paired</t>
  </si>
  <si>
    <t>Paired sorting</t>
  </si>
  <si>
    <t>"Filling in the gaps" in numeric data</t>
  </si>
  <si>
    <t>Finding how outcomes change as a result of a change in assumptions</t>
  </si>
  <si>
    <t>We can customise our courses for particular audiences.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</si>
</sst>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164" formatCode="d/mm/yy"/>
    <numFmt numFmtId="165" formatCode=";;;"/>
    <numFmt numFmtId="166" formatCode="0.000"/>
    <numFmt numFmtId="167" formatCode="General;;\-"/>
    <numFmt numFmtId="168" formatCode="0.0%"/>
    <numFmt numFmtId="169" formatCode="#,##0\ ;\(#,##0\);\-\ "/>
    <numFmt numFmtId="170" formatCode="&quot;Scenario&quot;\ General"/>
    <numFmt numFmtId="171" formatCode="0.00000"/>
    <numFmt numFmtId="172" formatCode="0.0"/>
    <numFmt numFmtId="173" formatCode="0.000%"/>
    <numFmt numFmtId="174" formatCode="&quot;Year &quot;\ General"/>
    <numFmt numFmtId="175" formatCode="&quot;Scenario &quot;\ General"/>
    <numFmt numFmtId="176" formatCode="dd/mm/yy"/>
    <numFmt numFmtId="177" formatCode="0.000000000000000000"/>
    <numFmt numFmtId="178" formatCode="&quot;&lt;= &quot;\ #,##0\ ;\(#,##0\);\-\ "/>
    <numFmt numFmtId="179" formatCode="&quot;&gt;= &quot;\ #,##0\ ;\(#,##0\);\-\ "/>
  </numFmts>
  <fonts count="91">
    <font>
      <sz val="10"/>
      <name val="Arial"/>
    </font>
    <font>
      <sz val="10"/>
      <name val="Arial"/>
    </font>
    <font>
      <sz val="8"/>
      <name val="Arial"/>
    </font>
    <font>
      <sz val="10"/>
      <name val="Helvetica 45 Light"/>
      <family val="2"/>
    </font>
    <font>
      <b/>
      <sz val="10"/>
      <name val="Arial"/>
      <family val="2"/>
    </font>
    <font>
      <sz val="10"/>
      <color indexed="9"/>
      <name val="Arial"/>
    </font>
    <font>
      <u/>
      <sz val="10"/>
      <color indexed="12"/>
      <name val="Arial"/>
    </font>
    <font>
      <b/>
      <sz val="10"/>
      <color indexed="18"/>
      <name val="Helv"/>
    </font>
    <font>
      <sz val="10"/>
      <name val="Helv"/>
    </font>
    <font>
      <b/>
      <sz val="10"/>
      <color indexed="9"/>
      <name val="Arial"/>
      <family val="2"/>
    </font>
    <font>
      <sz val="10"/>
      <name val="Arial"/>
      <family val="2"/>
    </font>
    <font>
      <i/>
      <sz val="10"/>
      <name val="Arial"/>
      <family val="2"/>
    </font>
    <font>
      <u/>
      <sz val="9"/>
      <color indexed="12"/>
      <name val="Arial"/>
    </font>
    <font>
      <sz val="10"/>
      <color indexed="9"/>
      <name val="Arial"/>
      <family val="2"/>
    </font>
    <font>
      <b/>
      <sz val="12"/>
      <color indexed="9"/>
      <name val="Arial"/>
      <family val="2"/>
    </font>
    <font>
      <sz val="10"/>
      <color indexed="18"/>
      <name val="Arial"/>
    </font>
    <font>
      <b/>
      <sz val="10"/>
      <color indexed="9"/>
      <name val="Arial"/>
    </font>
    <font>
      <sz val="8"/>
      <color indexed="55"/>
      <name val="Arial"/>
    </font>
    <font>
      <b/>
      <sz val="12"/>
      <name val="Arial"/>
      <family val="2"/>
    </font>
    <font>
      <u/>
      <sz val="8"/>
      <color indexed="12"/>
      <name val="Arial"/>
    </font>
    <font>
      <sz val="9"/>
      <name val="Arial"/>
    </font>
    <font>
      <i/>
      <sz val="10"/>
      <color indexed="9"/>
      <name val="Arial"/>
      <family val="2"/>
    </font>
    <font>
      <sz val="12"/>
      <name val="Arial"/>
    </font>
    <font>
      <sz val="9"/>
      <color indexed="9"/>
      <name val="Arial"/>
    </font>
    <font>
      <sz val="8"/>
      <color indexed="22"/>
      <name val="Arial"/>
    </font>
    <font>
      <u/>
      <sz val="9"/>
      <color indexed="12"/>
      <name val="Arial"/>
      <family val="2"/>
    </font>
    <font>
      <sz val="10"/>
      <color indexed="12"/>
      <name val="Arial"/>
      <family val="2"/>
    </font>
    <font>
      <i/>
      <sz val="8"/>
      <color indexed="23"/>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12"/>
      <name val="Arial"/>
      <family val="2"/>
    </font>
    <font>
      <sz val="12"/>
      <color indexed="12"/>
      <name val="Arial"/>
      <family val="2"/>
    </font>
    <font>
      <b/>
      <sz val="10"/>
      <color indexed="12"/>
      <name val="Arial"/>
      <family val="2"/>
    </font>
    <font>
      <sz val="10"/>
      <color indexed="10"/>
      <name val="Arial"/>
      <family val="2"/>
    </font>
    <font>
      <i/>
      <sz val="8"/>
      <color indexed="22"/>
      <name val="Arial"/>
      <family val="2"/>
    </font>
    <font>
      <sz val="10"/>
      <color indexed="10"/>
      <name val="Arial"/>
    </font>
    <font>
      <sz val="10"/>
      <color indexed="12"/>
      <name val="Arial"/>
    </font>
    <font>
      <sz val="10"/>
      <color indexed="57"/>
      <name val="Arial"/>
    </font>
    <font>
      <sz val="10"/>
      <color indexed="61"/>
      <name val="Arial"/>
    </font>
    <font>
      <sz val="10"/>
      <color indexed="57"/>
      <name val="Arial"/>
      <family val="2"/>
    </font>
    <font>
      <b/>
      <sz val="12"/>
      <name val="Arial"/>
    </font>
    <font>
      <b/>
      <i/>
      <sz val="14"/>
      <name val="Arial"/>
      <family val="2"/>
    </font>
    <font>
      <i/>
      <sz val="14"/>
      <name val="Arial"/>
      <family val="2"/>
    </font>
    <font>
      <b/>
      <i/>
      <u/>
      <sz val="10"/>
      <color indexed="12"/>
      <name val="Arial"/>
      <family val="2"/>
    </font>
    <font>
      <b/>
      <i/>
      <sz val="14"/>
      <color indexed="12"/>
      <name val="Arial"/>
      <family val="2"/>
    </font>
    <font>
      <b/>
      <sz val="10"/>
      <color indexed="62"/>
      <name val="Arial"/>
      <family val="2"/>
    </font>
    <font>
      <i/>
      <sz val="8"/>
      <name val="Arial"/>
      <family val="2"/>
    </font>
    <font>
      <i/>
      <sz val="8"/>
      <color indexed="12"/>
      <name val="Arial"/>
      <family val="2"/>
    </font>
    <font>
      <sz val="20"/>
      <name val="Arial"/>
    </font>
    <font>
      <b/>
      <sz val="22"/>
      <name val="Arial"/>
      <family val="2"/>
    </font>
    <font>
      <sz val="10"/>
      <color indexed="52"/>
      <name val="Arial"/>
    </font>
    <font>
      <sz val="10"/>
      <color indexed="8"/>
      <name val="Arial"/>
    </font>
    <font>
      <sz val="10"/>
      <name val="Times New Roman"/>
      <family val="1"/>
    </font>
    <font>
      <b/>
      <sz val="11"/>
      <name val="Arial"/>
      <family val="2"/>
    </font>
    <font>
      <sz val="11"/>
      <name val="Times New Roman"/>
      <family val="1"/>
    </font>
    <font>
      <u/>
      <sz val="10"/>
      <color indexed="12"/>
      <name val="Times New Roman"/>
      <family val="1"/>
    </font>
    <font>
      <i/>
      <sz val="10"/>
      <name val="Arial"/>
    </font>
    <font>
      <u/>
      <sz val="10"/>
      <color indexed="12"/>
      <name val="Arial"/>
      <family val="2"/>
    </font>
    <font>
      <i/>
      <u/>
      <sz val="9"/>
      <color indexed="12"/>
      <name val="Times New Roman"/>
      <family val="1"/>
    </font>
    <font>
      <u/>
      <sz val="9"/>
      <color indexed="12"/>
      <name val="Times New Roman"/>
      <family val="1"/>
    </font>
    <font>
      <i/>
      <sz val="9"/>
      <color indexed="63"/>
      <name val="Times New Roman"/>
      <family val="1"/>
    </font>
    <font>
      <sz val="8"/>
      <color indexed="12"/>
      <name val="Arial"/>
      <family val="2"/>
    </font>
    <font>
      <i/>
      <sz val="10"/>
      <color indexed="12"/>
      <name val="Arial"/>
      <family val="2"/>
    </font>
    <font>
      <i/>
      <sz val="10"/>
      <color indexed="57"/>
      <name val="Arial"/>
      <family val="2"/>
    </font>
    <font>
      <i/>
      <sz val="10"/>
      <color indexed="52"/>
      <name val="Arial"/>
      <family val="2"/>
    </font>
    <font>
      <i/>
      <sz val="10"/>
      <color indexed="61"/>
      <name val="Arial"/>
      <family val="2"/>
    </font>
    <font>
      <i/>
      <sz val="9"/>
      <name val="Times New Roman"/>
      <family val="1"/>
    </font>
    <font>
      <i/>
      <u/>
      <sz val="9"/>
      <name val="Times New Roman"/>
      <family val="1"/>
    </font>
    <font>
      <i/>
      <sz val="10"/>
      <name val="Times New Roman"/>
      <family val="1"/>
    </font>
    <font>
      <sz val="10"/>
      <name val="Arial"/>
    </font>
    <font>
      <i/>
      <sz val="10"/>
      <color indexed="10"/>
      <name val="Arial"/>
      <family val="2"/>
    </font>
    <font>
      <b/>
      <u/>
      <sz val="10"/>
      <name val="Arial"/>
      <family val="2"/>
    </font>
    <font>
      <vertAlign val="superscript"/>
      <sz val="14"/>
      <name val="Arial"/>
      <family val="2"/>
    </font>
    <font>
      <i/>
      <sz val="9"/>
      <name val="Arial"/>
      <family val="2"/>
    </font>
    <font>
      <sz val="8"/>
      <color rgb="FF000000"/>
      <name val="Tahoma"/>
      <family val="2"/>
    </font>
    <font>
      <b/>
      <sz val="8"/>
      <color indexed="81"/>
      <name val="Tahoma"/>
      <family val="2"/>
    </font>
    <font>
      <sz val="8"/>
      <color indexed="81"/>
      <name val="Tahoma"/>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indexed="9"/>
        <bgColor indexed="64"/>
      </patternFill>
    </fill>
    <fill>
      <patternFill patternType="lightUp"/>
    </fill>
    <fill>
      <patternFill patternType="solid">
        <fgColor indexed="22"/>
        <bgColor indexed="64"/>
      </patternFill>
    </fill>
    <fill>
      <patternFill patternType="solid">
        <fgColor indexed="8"/>
        <bgColor indexed="64"/>
      </patternFill>
    </fill>
    <fill>
      <patternFill patternType="solid">
        <fgColor indexed="55"/>
        <bgColor indexed="64"/>
      </patternFill>
    </fill>
    <fill>
      <patternFill patternType="solid">
        <fgColor indexed="63"/>
        <bgColor indexed="64"/>
      </patternFill>
    </fill>
    <fill>
      <patternFill patternType="lightVertical"/>
    </fill>
    <fill>
      <patternFill patternType="darkUp"/>
    </fill>
    <fill>
      <patternFill patternType="darkUp">
        <bgColor indexed="9"/>
      </patternFill>
    </fill>
    <fill>
      <patternFill patternType="lightHorizontal"/>
    </fill>
    <fill>
      <patternFill patternType="gray0625">
        <bgColor indexed="43"/>
      </patternFill>
    </fill>
    <fill>
      <patternFill patternType="solid">
        <fgColor indexed="24"/>
        <bgColor indexed="64"/>
      </patternFill>
    </fill>
    <fill>
      <patternFill patternType="lightDown"/>
    </fill>
    <fill>
      <patternFill patternType="gray0625">
        <bgColor indexed="26"/>
      </patternFill>
    </fill>
    <fill>
      <patternFill patternType="solid">
        <fgColor indexed="47"/>
        <bgColor indexed="64"/>
      </patternFill>
    </fill>
    <fill>
      <patternFill patternType="solid">
        <fgColor indexed="23"/>
        <bgColor indexed="64"/>
      </patternFill>
    </fill>
    <fill>
      <patternFill patternType="solid">
        <fgColor indexed="26"/>
        <bgColor indexed="64"/>
      </patternFill>
    </fill>
    <fill>
      <patternFill patternType="solid">
        <fgColor indexed="13"/>
        <bgColor indexed="64"/>
      </patternFill>
    </fill>
    <fill>
      <patternFill patternType="solid">
        <fgColor indexed="43"/>
        <bgColor indexed="64"/>
      </patternFill>
    </fill>
    <fill>
      <patternFill patternType="solid">
        <fgColor indexed="62"/>
        <bgColor indexed="64"/>
      </patternFill>
    </fill>
  </fills>
  <borders count="2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hair">
        <color indexed="22"/>
      </bottom>
      <diagonal/>
    </border>
    <border>
      <left style="thin">
        <color indexed="55"/>
      </left>
      <right style="thin">
        <color indexed="55"/>
      </right>
      <top style="thin">
        <color indexed="64"/>
      </top>
      <bottom/>
      <diagonal/>
    </border>
    <border>
      <left style="thin">
        <color indexed="55"/>
      </left>
      <right style="thin">
        <color indexed="64"/>
      </right>
      <top style="thin">
        <color indexed="64"/>
      </top>
      <bottom/>
      <diagonal/>
    </border>
    <border>
      <left style="thin">
        <color indexed="64"/>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thin">
        <color indexed="64"/>
      </right>
      <top style="hair">
        <color indexed="22"/>
      </top>
      <bottom style="hair">
        <color indexed="22"/>
      </bottom>
      <diagonal/>
    </border>
    <border>
      <left style="thin">
        <color indexed="64"/>
      </left>
      <right style="hair">
        <color indexed="22"/>
      </right>
      <top style="hair">
        <color indexed="22"/>
      </top>
      <bottom style="thin">
        <color indexed="64"/>
      </bottom>
      <diagonal/>
    </border>
    <border>
      <left style="hair">
        <color indexed="22"/>
      </left>
      <right style="hair">
        <color indexed="22"/>
      </right>
      <top style="hair">
        <color indexed="22"/>
      </top>
      <bottom style="thin">
        <color indexed="64"/>
      </bottom>
      <diagonal/>
    </border>
    <border>
      <left style="hair">
        <color indexed="22"/>
      </left>
      <right style="thin">
        <color indexed="64"/>
      </right>
      <top style="hair">
        <color indexed="22"/>
      </top>
      <bottom style="thin">
        <color indexed="64"/>
      </bottom>
      <diagonal/>
    </border>
    <border>
      <left style="thin">
        <color indexed="64"/>
      </left>
      <right style="thin">
        <color indexed="55"/>
      </right>
      <top style="thin">
        <color indexed="64"/>
      </top>
      <bottom/>
      <diagonal/>
    </border>
    <border>
      <left style="thin">
        <color indexed="55"/>
      </left>
      <right/>
      <top style="thin">
        <color indexed="64"/>
      </top>
      <bottom style="hair">
        <color indexed="22"/>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style="thin">
        <color indexed="22"/>
      </right>
      <top style="thin">
        <color indexed="64"/>
      </top>
      <bottom/>
      <diagonal/>
    </border>
    <border>
      <left style="thin">
        <color indexed="22"/>
      </left>
      <right style="thin">
        <color indexed="64"/>
      </right>
      <top style="thin">
        <color indexed="64"/>
      </top>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style="thin">
        <color indexed="22"/>
      </left>
      <right style="thin">
        <color indexed="64"/>
      </right>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hair">
        <color indexed="22"/>
      </right>
      <top style="thin">
        <color indexed="64"/>
      </top>
      <bottom style="hair">
        <color indexed="22"/>
      </bottom>
      <diagonal/>
    </border>
    <border>
      <left style="hair">
        <color indexed="22"/>
      </left>
      <right style="hair">
        <color indexed="22"/>
      </right>
      <top style="thin">
        <color indexed="64"/>
      </top>
      <bottom style="hair">
        <color indexed="22"/>
      </bottom>
      <diagonal/>
    </border>
    <border>
      <left style="hair">
        <color indexed="22"/>
      </left>
      <right style="thin">
        <color indexed="64"/>
      </right>
      <top style="thin">
        <color indexed="64"/>
      </top>
      <bottom style="hair">
        <color indexed="22"/>
      </bottom>
      <diagonal/>
    </border>
    <border>
      <left style="thin">
        <color indexed="64"/>
      </left>
      <right/>
      <top style="thin">
        <color indexed="22"/>
      </top>
      <bottom style="thin">
        <color indexed="22"/>
      </bottom>
      <diagonal/>
    </border>
    <border>
      <left style="thin">
        <color indexed="64"/>
      </left>
      <right style="dotted">
        <color indexed="22"/>
      </right>
      <top style="thin">
        <color indexed="64"/>
      </top>
      <bottom style="thin">
        <color indexed="64"/>
      </bottom>
      <diagonal/>
    </border>
    <border>
      <left style="dotted">
        <color indexed="22"/>
      </left>
      <right style="dotted">
        <color indexed="22"/>
      </right>
      <top style="thin">
        <color indexed="64"/>
      </top>
      <bottom style="thin">
        <color indexed="64"/>
      </bottom>
      <diagonal/>
    </border>
    <border>
      <left style="dotted">
        <color indexed="22"/>
      </left>
      <right style="thin">
        <color indexed="64"/>
      </right>
      <top style="thin">
        <color indexed="64"/>
      </top>
      <bottom style="thin">
        <color indexed="64"/>
      </bottom>
      <diagonal/>
    </border>
    <border>
      <left/>
      <right style="dotted">
        <color indexed="22"/>
      </right>
      <top style="thin">
        <color indexed="64"/>
      </top>
      <bottom style="thin">
        <color indexed="64"/>
      </bottom>
      <diagonal/>
    </border>
    <border>
      <left style="dotted">
        <color indexed="22"/>
      </left>
      <right/>
      <top style="thin">
        <color indexed="64"/>
      </top>
      <bottom style="thin">
        <color indexed="64"/>
      </bottom>
      <diagonal/>
    </border>
    <border>
      <left style="thin">
        <color indexed="64"/>
      </left>
      <right style="dotted">
        <color indexed="22"/>
      </right>
      <top style="thin">
        <color indexed="64"/>
      </top>
      <bottom/>
      <diagonal/>
    </border>
    <border>
      <left style="dotted">
        <color indexed="22"/>
      </left>
      <right style="dotted">
        <color indexed="22"/>
      </right>
      <top style="thin">
        <color indexed="64"/>
      </top>
      <bottom/>
      <diagonal/>
    </border>
    <border>
      <left style="dotted">
        <color indexed="22"/>
      </left>
      <right style="thin">
        <color indexed="64"/>
      </right>
      <top style="thin">
        <color indexed="64"/>
      </top>
      <bottom/>
      <diagonal/>
    </border>
    <border>
      <left style="thin">
        <color indexed="64"/>
      </left>
      <right style="dotted">
        <color indexed="22"/>
      </right>
      <top/>
      <bottom style="dotted">
        <color indexed="22"/>
      </bottom>
      <diagonal/>
    </border>
    <border>
      <left/>
      <right/>
      <top/>
      <bottom style="dotted">
        <color indexed="22"/>
      </bottom>
      <diagonal/>
    </border>
    <border>
      <left style="dotted">
        <color indexed="22"/>
      </left>
      <right style="dotted">
        <color indexed="22"/>
      </right>
      <top/>
      <bottom style="dotted">
        <color indexed="22"/>
      </bottom>
      <diagonal/>
    </border>
    <border>
      <left style="dotted">
        <color indexed="22"/>
      </left>
      <right style="thin">
        <color indexed="64"/>
      </right>
      <top/>
      <bottom style="dotted">
        <color indexed="22"/>
      </bottom>
      <diagonal/>
    </border>
    <border>
      <left style="thin">
        <color indexed="64"/>
      </left>
      <right style="dotted">
        <color indexed="22"/>
      </right>
      <top style="dotted">
        <color indexed="22"/>
      </top>
      <bottom style="dotted">
        <color indexed="22"/>
      </bottom>
      <diagonal/>
    </border>
    <border>
      <left style="dotted">
        <color indexed="22"/>
      </left>
      <right style="dotted">
        <color indexed="22"/>
      </right>
      <top style="dotted">
        <color indexed="22"/>
      </top>
      <bottom style="dotted">
        <color indexed="22"/>
      </bottom>
      <diagonal/>
    </border>
    <border>
      <left style="dotted">
        <color indexed="22"/>
      </left>
      <right style="thin">
        <color indexed="64"/>
      </right>
      <top style="dotted">
        <color indexed="22"/>
      </top>
      <bottom style="dotted">
        <color indexed="22"/>
      </bottom>
      <diagonal/>
    </border>
    <border>
      <left style="thin">
        <color indexed="64"/>
      </left>
      <right style="dotted">
        <color indexed="22"/>
      </right>
      <top/>
      <bottom style="thin">
        <color indexed="64"/>
      </bottom>
      <diagonal/>
    </border>
    <border>
      <left style="dotted">
        <color indexed="22"/>
      </left>
      <right style="dotted">
        <color indexed="22"/>
      </right>
      <top/>
      <bottom style="thin">
        <color indexed="64"/>
      </bottom>
      <diagonal/>
    </border>
    <border>
      <left style="dotted">
        <color indexed="22"/>
      </left>
      <right style="thin">
        <color indexed="64"/>
      </right>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2"/>
      </left>
      <right style="thin">
        <color indexed="64"/>
      </right>
      <top style="thin">
        <color indexed="64"/>
      </top>
      <bottom style="thin">
        <color indexed="64"/>
      </bottom>
      <diagonal/>
    </border>
    <border>
      <left style="thin">
        <color indexed="55"/>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22"/>
      </right>
      <top style="thin">
        <color indexed="64"/>
      </top>
      <bottom style="thin">
        <color indexed="64"/>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22"/>
      </left>
      <right style="thin">
        <color indexed="22"/>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right style="thin">
        <color indexed="22"/>
      </right>
      <top/>
      <bottom style="thin">
        <color indexed="22"/>
      </bottom>
      <diagonal/>
    </border>
    <border>
      <left/>
      <right style="thin">
        <color indexed="22"/>
      </right>
      <top style="thin">
        <color indexed="22"/>
      </top>
      <bottom style="thin">
        <color indexed="64"/>
      </bottom>
      <diagonal/>
    </border>
    <border>
      <left/>
      <right style="thin">
        <color indexed="64"/>
      </right>
      <top style="thin">
        <color indexed="22"/>
      </top>
      <bottom style="thin">
        <color indexed="22"/>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style="hair">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31"/>
      </right>
      <top/>
      <bottom/>
      <diagonal/>
    </border>
    <border>
      <left style="thin">
        <color indexed="31"/>
      </left>
      <right style="thin">
        <color indexed="31"/>
      </right>
      <top/>
      <bottom/>
      <diagonal/>
    </border>
    <border>
      <left style="thin">
        <color indexed="64"/>
      </left>
      <right style="thin">
        <color indexed="31"/>
      </right>
      <top/>
      <bottom style="thin">
        <color indexed="64"/>
      </bottom>
      <diagonal/>
    </border>
    <border>
      <left style="thin">
        <color indexed="31"/>
      </left>
      <right style="thin">
        <color indexed="31"/>
      </right>
      <top/>
      <bottom style="thin">
        <color indexed="64"/>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right style="dotted">
        <color indexed="22"/>
      </right>
      <top/>
      <bottom style="dotted">
        <color indexed="22"/>
      </bottom>
      <diagonal/>
    </border>
    <border>
      <left style="dotted">
        <color indexed="22"/>
      </left>
      <right style="dotted">
        <color indexed="22"/>
      </right>
      <top/>
      <bottom/>
      <diagonal/>
    </border>
    <border>
      <left style="dotted">
        <color indexed="22"/>
      </left>
      <right style="thin">
        <color indexed="64"/>
      </right>
      <top/>
      <bottom/>
      <diagonal/>
    </border>
    <border>
      <left/>
      <right style="thin">
        <color indexed="22"/>
      </right>
      <top style="thin">
        <color indexed="64"/>
      </top>
      <bottom style="thin">
        <color indexed="22"/>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style="thin">
        <color indexed="31"/>
      </top>
      <bottom/>
      <diagonal/>
    </border>
    <border>
      <left style="thin">
        <color indexed="31"/>
      </left>
      <right/>
      <top style="thin">
        <color indexed="31"/>
      </top>
      <bottom style="thin">
        <color indexed="31"/>
      </bottom>
      <diagonal/>
    </border>
    <border>
      <left style="medium">
        <color indexed="10"/>
      </left>
      <right style="medium">
        <color indexed="10"/>
      </right>
      <top style="medium">
        <color indexed="10"/>
      </top>
      <bottom style="medium">
        <color indexed="10"/>
      </bottom>
      <diagonal/>
    </border>
    <border>
      <left/>
      <right/>
      <top style="thin">
        <color indexed="31"/>
      </top>
      <bottom style="thin">
        <color indexed="31"/>
      </bottom>
      <diagonal/>
    </border>
    <border>
      <left style="medium">
        <color indexed="12"/>
      </left>
      <right style="medium">
        <color indexed="12"/>
      </right>
      <top style="medium">
        <color indexed="12"/>
      </top>
      <bottom style="medium">
        <color indexed="12"/>
      </bottom>
      <diagonal/>
    </border>
    <border>
      <left style="medium">
        <color indexed="57"/>
      </left>
      <right style="medium">
        <color indexed="57"/>
      </right>
      <top style="medium">
        <color indexed="57"/>
      </top>
      <bottom style="medium">
        <color indexed="57"/>
      </bottom>
      <diagonal/>
    </border>
    <border>
      <left/>
      <right style="thin">
        <color indexed="31"/>
      </right>
      <top style="thin">
        <color indexed="31"/>
      </top>
      <bottom style="thin">
        <color indexed="31"/>
      </bottom>
      <diagonal/>
    </border>
    <border>
      <left style="thin">
        <color indexed="31"/>
      </left>
      <right style="thin">
        <color indexed="31"/>
      </right>
      <top/>
      <bottom style="thin">
        <color indexed="31"/>
      </bottom>
      <diagonal/>
    </border>
    <border>
      <left style="medium">
        <color indexed="61"/>
      </left>
      <right style="medium">
        <color indexed="61"/>
      </right>
      <top style="medium">
        <color indexed="61"/>
      </top>
      <bottom style="medium">
        <color indexed="61"/>
      </bottom>
      <diagonal/>
    </border>
    <border>
      <left style="medium">
        <color indexed="10"/>
      </left>
      <right style="thin">
        <color indexed="31"/>
      </right>
      <top style="medium">
        <color indexed="10"/>
      </top>
      <bottom style="medium">
        <color indexed="10"/>
      </bottom>
      <diagonal/>
    </border>
    <border>
      <left style="thin">
        <color indexed="31"/>
      </left>
      <right style="thin">
        <color indexed="31"/>
      </right>
      <top style="medium">
        <color indexed="10"/>
      </top>
      <bottom style="medium">
        <color indexed="10"/>
      </bottom>
      <diagonal/>
    </border>
    <border>
      <left style="thin">
        <color indexed="31"/>
      </left>
      <right style="medium">
        <color indexed="10"/>
      </right>
      <top style="medium">
        <color indexed="10"/>
      </top>
      <bottom style="medium">
        <color indexed="10"/>
      </bottom>
      <diagonal/>
    </border>
    <border>
      <left style="medium">
        <color indexed="12"/>
      </left>
      <right style="thin">
        <color indexed="31"/>
      </right>
      <top style="medium">
        <color indexed="12"/>
      </top>
      <bottom style="medium">
        <color indexed="12"/>
      </bottom>
      <diagonal/>
    </border>
    <border>
      <left style="thin">
        <color indexed="31"/>
      </left>
      <right style="thin">
        <color indexed="31"/>
      </right>
      <top style="medium">
        <color indexed="12"/>
      </top>
      <bottom style="medium">
        <color indexed="12"/>
      </bottom>
      <diagonal/>
    </border>
    <border>
      <left style="thin">
        <color indexed="31"/>
      </left>
      <right style="medium">
        <color indexed="12"/>
      </right>
      <top style="medium">
        <color indexed="12"/>
      </top>
      <bottom style="medium">
        <color indexed="12"/>
      </bottom>
      <diagonal/>
    </border>
    <border>
      <left style="medium">
        <color indexed="57"/>
      </left>
      <right style="thin">
        <color indexed="31"/>
      </right>
      <top style="medium">
        <color indexed="57"/>
      </top>
      <bottom style="medium">
        <color indexed="57"/>
      </bottom>
      <diagonal/>
    </border>
    <border>
      <left style="thin">
        <color indexed="31"/>
      </left>
      <right style="thin">
        <color indexed="31"/>
      </right>
      <top style="medium">
        <color indexed="57"/>
      </top>
      <bottom style="medium">
        <color indexed="57"/>
      </bottom>
      <diagonal/>
    </border>
    <border>
      <left style="thin">
        <color indexed="31"/>
      </left>
      <right style="medium">
        <color indexed="57"/>
      </right>
      <top style="medium">
        <color indexed="57"/>
      </top>
      <bottom style="medium">
        <color indexed="57"/>
      </bottom>
      <diagonal/>
    </border>
    <border>
      <left style="medium">
        <color indexed="12"/>
      </left>
      <right style="medium">
        <color indexed="12"/>
      </right>
      <top style="medium">
        <color indexed="12"/>
      </top>
      <bottom style="thin">
        <color indexed="31"/>
      </bottom>
      <diagonal/>
    </border>
    <border>
      <left style="medium">
        <color indexed="57"/>
      </left>
      <right style="medium">
        <color indexed="57"/>
      </right>
      <top style="medium">
        <color indexed="57"/>
      </top>
      <bottom style="thin">
        <color indexed="31"/>
      </bottom>
      <diagonal/>
    </border>
    <border>
      <left style="medium">
        <color indexed="12"/>
      </left>
      <right style="medium">
        <color indexed="12"/>
      </right>
      <top style="thin">
        <color indexed="31"/>
      </top>
      <bottom style="thin">
        <color indexed="31"/>
      </bottom>
      <diagonal/>
    </border>
    <border>
      <left style="medium">
        <color indexed="57"/>
      </left>
      <right style="medium">
        <color indexed="57"/>
      </right>
      <top style="thin">
        <color indexed="31"/>
      </top>
      <bottom style="thin">
        <color indexed="31"/>
      </bottom>
      <diagonal/>
    </border>
    <border>
      <left style="medium">
        <color indexed="12"/>
      </left>
      <right style="medium">
        <color indexed="12"/>
      </right>
      <top style="thin">
        <color indexed="31"/>
      </top>
      <bottom style="medium">
        <color indexed="12"/>
      </bottom>
      <diagonal/>
    </border>
    <border>
      <left style="medium">
        <color indexed="57"/>
      </left>
      <right style="medium">
        <color indexed="57"/>
      </right>
      <top style="thin">
        <color indexed="31"/>
      </top>
      <bottom style="medium">
        <color indexed="57"/>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right style="thin">
        <color indexed="22"/>
      </right>
      <top/>
      <bottom/>
      <diagonal/>
    </border>
    <border>
      <left style="thin">
        <color indexed="22"/>
      </left>
      <right/>
      <top/>
      <bottom style="thin">
        <color indexed="22"/>
      </bottom>
      <diagonal/>
    </border>
    <border>
      <left style="medium">
        <color indexed="12"/>
      </left>
      <right style="thin">
        <color indexed="31"/>
      </right>
      <top style="medium">
        <color indexed="12"/>
      </top>
      <bottom style="thin">
        <color indexed="31"/>
      </bottom>
      <diagonal/>
    </border>
    <border>
      <left style="thin">
        <color indexed="31"/>
      </left>
      <right style="medium">
        <color indexed="12"/>
      </right>
      <top style="medium">
        <color indexed="12"/>
      </top>
      <bottom style="thin">
        <color indexed="31"/>
      </bottom>
      <diagonal/>
    </border>
    <border>
      <left style="medium">
        <color indexed="12"/>
      </left>
      <right style="thin">
        <color indexed="31"/>
      </right>
      <top style="thin">
        <color indexed="31"/>
      </top>
      <bottom style="thin">
        <color indexed="31"/>
      </bottom>
      <diagonal/>
    </border>
    <border>
      <left style="thin">
        <color indexed="31"/>
      </left>
      <right style="medium">
        <color indexed="12"/>
      </right>
      <top style="thin">
        <color indexed="31"/>
      </top>
      <bottom style="thin">
        <color indexed="31"/>
      </bottom>
      <diagonal/>
    </border>
    <border>
      <left style="medium">
        <color indexed="12"/>
      </left>
      <right style="thin">
        <color indexed="31"/>
      </right>
      <top style="thin">
        <color indexed="31"/>
      </top>
      <bottom style="medium">
        <color indexed="12"/>
      </bottom>
      <diagonal/>
    </border>
    <border>
      <left style="thin">
        <color indexed="31"/>
      </left>
      <right style="medium">
        <color indexed="12"/>
      </right>
      <top style="thin">
        <color indexed="31"/>
      </top>
      <bottom style="medium">
        <color indexed="12"/>
      </bottom>
      <diagonal/>
    </border>
    <border>
      <left/>
      <right style="thin">
        <color indexed="31"/>
      </right>
      <top style="thin">
        <color indexed="31"/>
      </top>
      <bottom/>
      <diagonal/>
    </border>
    <border>
      <left/>
      <right style="thin">
        <color indexed="31"/>
      </right>
      <top/>
      <bottom style="thin">
        <color indexed="31"/>
      </bottom>
      <diagonal/>
    </border>
    <border>
      <left style="thin">
        <color indexed="64"/>
      </left>
      <right style="thin">
        <color indexed="31"/>
      </right>
      <top style="thin">
        <color indexed="31"/>
      </top>
      <bottom style="thin">
        <color indexed="31"/>
      </bottom>
      <diagonal/>
    </border>
    <border>
      <left style="thin">
        <color indexed="31"/>
      </left>
      <right style="thin">
        <color indexed="64"/>
      </right>
      <top style="thin">
        <color indexed="31"/>
      </top>
      <bottom style="thin">
        <color indexed="31"/>
      </bottom>
      <diagonal/>
    </border>
    <border>
      <left style="thin">
        <color indexed="64"/>
      </left>
      <right style="thin">
        <color indexed="31"/>
      </right>
      <top style="thin">
        <color indexed="31"/>
      </top>
      <bottom style="thin">
        <color indexed="64"/>
      </bottom>
      <diagonal/>
    </border>
    <border>
      <left style="thin">
        <color indexed="31"/>
      </left>
      <right style="thin">
        <color indexed="31"/>
      </right>
      <top style="thin">
        <color indexed="31"/>
      </top>
      <bottom style="thin">
        <color indexed="64"/>
      </bottom>
      <diagonal/>
    </border>
    <border>
      <left style="thin">
        <color indexed="31"/>
      </left>
      <right style="thin">
        <color indexed="64"/>
      </right>
      <top style="thin">
        <color indexed="31"/>
      </top>
      <bottom style="thin">
        <color indexed="64"/>
      </bottom>
      <diagonal/>
    </border>
    <border>
      <left style="medium">
        <color indexed="10"/>
      </left>
      <right/>
      <top style="medium">
        <color indexed="10"/>
      </top>
      <bottom style="medium">
        <color indexed="10"/>
      </bottom>
      <diagonal/>
    </border>
    <border>
      <left style="thin">
        <color indexed="31"/>
      </left>
      <right/>
      <top style="thin">
        <color indexed="31"/>
      </top>
      <bottom/>
      <diagonal/>
    </border>
    <border>
      <left style="medium">
        <color indexed="12"/>
      </left>
      <right/>
      <top style="medium">
        <color indexed="12"/>
      </top>
      <bottom style="medium">
        <color indexed="12"/>
      </bottom>
      <diagonal/>
    </border>
    <border>
      <left style="medium">
        <color indexed="61"/>
      </left>
      <right style="thin">
        <color indexed="31"/>
      </right>
      <top style="medium">
        <color indexed="61"/>
      </top>
      <bottom style="medium">
        <color indexed="61"/>
      </bottom>
      <diagonal/>
    </border>
    <border>
      <left style="thin">
        <color indexed="31"/>
      </left>
      <right style="thin">
        <color indexed="31"/>
      </right>
      <top style="medium">
        <color indexed="61"/>
      </top>
      <bottom style="medium">
        <color indexed="61"/>
      </bottom>
      <diagonal/>
    </border>
    <border>
      <left style="medium">
        <color indexed="52"/>
      </left>
      <right style="medium">
        <color indexed="52"/>
      </right>
      <top style="medium">
        <color indexed="52"/>
      </top>
      <bottom style="medium">
        <color indexed="52"/>
      </bottom>
      <diagonal/>
    </border>
    <border>
      <left style="medium">
        <color indexed="52"/>
      </left>
      <right style="thin">
        <color indexed="31"/>
      </right>
      <top style="medium">
        <color indexed="52"/>
      </top>
      <bottom style="medium">
        <color indexed="52"/>
      </bottom>
      <diagonal/>
    </border>
    <border>
      <left style="thin">
        <color indexed="31"/>
      </left>
      <right style="medium">
        <color indexed="52"/>
      </right>
      <top style="medium">
        <color indexed="52"/>
      </top>
      <bottom style="medium">
        <color indexed="52"/>
      </bottom>
      <diagonal/>
    </border>
    <border>
      <left style="medium">
        <color indexed="8"/>
      </left>
      <right style="medium">
        <color indexed="8"/>
      </right>
      <top style="medium">
        <color indexed="8"/>
      </top>
      <bottom style="medium">
        <color indexed="8"/>
      </bottom>
      <diagonal/>
    </border>
    <border>
      <left style="thin">
        <color indexed="31"/>
      </left>
      <right style="medium">
        <color indexed="61"/>
      </right>
      <top style="medium">
        <color indexed="61"/>
      </top>
      <bottom style="medium">
        <color indexed="61"/>
      </bottom>
      <diagonal/>
    </border>
    <border>
      <left style="thin">
        <color indexed="31"/>
      </left>
      <right style="thin">
        <color indexed="31"/>
      </right>
      <top style="medium">
        <color indexed="52"/>
      </top>
      <bottom style="medium">
        <color indexed="52"/>
      </bottom>
      <diagonal/>
    </border>
    <border>
      <left style="thin">
        <color indexed="31"/>
      </left>
      <right style="thin">
        <color indexed="31"/>
      </right>
      <top style="thin">
        <color indexed="31"/>
      </top>
      <bottom style="medium">
        <color indexed="10"/>
      </bottom>
      <diagonal/>
    </border>
    <border>
      <left style="thin">
        <color indexed="31"/>
      </left>
      <right style="medium">
        <color indexed="10"/>
      </right>
      <top style="medium">
        <color indexed="10"/>
      </top>
      <bottom style="thin">
        <color indexed="31"/>
      </bottom>
      <diagonal/>
    </border>
    <border>
      <left style="thin">
        <color indexed="31"/>
      </left>
      <right style="thin">
        <color indexed="31"/>
      </right>
      <top style="medium">
        <color indexed="12"/>
      </top>
      <bottom style="thin">
        <color indexed="31"/>
      </bottom>
      <diagonal/>
    </border>
    <border>
      <left style="thin">
        <color indexed="31"/>
      </left>
      <right style="thin">
        <color indexed="31"/>
      </right>
      <top style="thin">
        <color indexed="31"/>
      </top>
      <bottom style="medium">
        <color indexed="12"/>
      </bottom>
      <diagonal/>
    </border>
    <border>
      <left style="medium">
        <color indexed="10"/>
      </left>
      <right style="thin">
        <color indexed="31"/>
      </right>
      <top style="medium">
        <color indexed="10"/>
      </top>
      <bottom style="thin">
        <color indexed="31"/>
      </bottom>
      <diagonal/>
    </border>
    <border>
      <left style="thin">
        <color indexed="31"/>
      </left>
      <right style="thin">
        <color indexed="31"/>
      </right>
      <top style="medium">
        <color indexed="10"/>
      </top>
      <bottom style="thin">
        <color indexed="31"/>
      </bottom>
      <diagonal/>
    </border>
    <border>
      <left style="medium">
        <color indexed="10"/>
      </left>
      <right style="thin">
        <color indexed="31"/>
      </right>
      <top style="thin">
        <color indexed="31"/>
      </top>
      <bottom style="medium">
        <color indexed="10"/>
      </bottom>
      <diagonal/>
    </border>
    <border>
      <left style="thin">
        <color indexed="31"/>
      </left>
      <right style="medium">
        <color indexed="10"/>
      </right>
      <top style="thin">
        <color indexed="31"/>
      </top>
      <bottom style="medium">
        <color indexed="10"/>
      </bottom>
      <diagonal/>
    </border>
    <border>
      <left style="medium">
        <color indexed="10"/>
      </left>
      <right style="thin">
        <color indexed="31"/>
      </right>
      <top style="thin">
        <color indexed="31"/>
      </top>
      <bottom style="thin">
        <color indexed="31"/>
      </bottom>
      <diagonal/>
    </border>
    <border>
      <left style="thin">
        <color indexed="31"/>
      </left>
      <right style="medium">
        <color indexed="10"/>
      </right>
      <top style="thin">
        <color indexed="31"/>
      </top>
      <bottom style="thin">
        <color indexed="31"/>
      </bottom>
      <diagonal/>
    </border>
    <border>
      <left/>
      <right/>
      <top style="thin">
        <color indexed="31"/>
      </top>
      <bottom/>
      <diagonal/>
    </border>
    <border>
      <left style="medium">
        <color indexed="61"/>
      </left>
      <right/>
      <top style="medium">
        <color indexed="61"/>
      </top>
      <bottom style="medium">
        <color indexed="61"/>
      </bottom>
      <diagonal/>
    </border>
    <border>
      <left style="medium">
        <color indexed="10"/>
      </left>
      <right style="medium">
        <color indexed="10"/>
      </right>
      <top style="thin">
        <color indexed="31"/>
      </top>
      <bottom style="thin">
        <color indexed="31"/>
      </bottom>
      <diagonal/>
    </border>
    <border>
      <left style="medium">
        <color indexed="10"/>
      </left>
      <right style="medium">
        <color indexed="10"/>
      </right>
      <top style="thin">
        <color indexed="31"/>
      </top>
      <bottom style="medium">
        <color indexed="10"/>
      </bottom>
      <diagonal/>
    </border>
    <border>
      <left style="medium">
        <color indexed="10"/>
      </left>
      <right/>
      <top style="medium">
        <color indexed="10"/>
      </top>
      <bottom style="thin">
        <color indexed="31"/>
      </bottom>
      <diagonal/>
    </border>
    <border>
      <left style="medium">
        <color indexed="52"/>
      </left>
      <right style="medium">
        <color indexed="52"/>
      </right>
      <top style="medium">
        <color indexed="52"/>
      </top>
      <bottom style="thin">
        <color indexed="31"/>
      </bottom>
      <diagonal/>
    </border>
    <border>
      <left style="medium">
        <color indexed="52"/>
      </left>
      <right style="medium">
        <color indexed="52"/>
      </right>
      <top style="thin">
        <color indexed="31"/>
      </top>
      <bottom style="thin">
        <color indexed="31"/>
      </bottom>
      <diagonal/>
    </border>
    <border>
      <left style="medium">
        <color indexed="52"/>
      </left>
      <right style="medium">
        <color indexed="52"/>
      </right>
      <top style="thin">
        <color indexed="31"/>
      </top>
      <bottom style="medium">
        <color indexed="52"/>
      </bottom>
      <diagonal/>
    </border>
    <border>
      <left style="medium">
        <color indexed="10"/>
      </left>
      <right style="thin">
        <color indexed="31"/>
      </right>
      <top style="medium">
        <color indexed="10"/>
      </top>
      <bottom/>
      <diagonal/>
    </border>
    <border>
      <left style="thin">
        <color indexed="31"/>
      </left>
      <right style="thin">
        <color indexed="31"/>
      </right>
      <top style="medium">
        <color indexed="10"/>
      </top>
      <bottom/>
      <diagonal/>
    </border>
    <border>
      <left style="thin">
        <color indexed="31"/>
      </left>
      <right style="medium">
        <color indexed="10"/>
      </right>
      <top style="medium">
        <color indexed="10"/>
      </top>
      <bottom/>
      <diagonal/>
    </border>
    <border>
      <left style="medium">
        <color indexed="10"/>
      </left>
      <right/>
      <top style="thin">
        <color indexed="31"/>
      </top>
      <bottom style="thin">
        <color indexed="31"/>
      </bottom>
      <diagonal/>
    </border>
    <border>
      <left style="medium">
        <color indexed="10"/>
      </left>
      <right/>
      <top style="thin">
        <color indexed="31"/>
      </top>
      <bottom style="medium">
        <color indexed="10"/>
      </bottom>
      <diagonal/>
    </border>
    <border>
      <left style="medium">
        <color indexed="12"/>
      </left>
      <right/>
      <top style="medium">
        <color indexed="12"/>
      </top>
      <bottom style="thin">
        <color indexed="31"/>
      </bottom>
      <diagonal/>
    </border>
    <border>
      <left style="medium">
        <color indexed="12"/>
      </left>
      <right/>
      <top style="thin">
        <color indexed="31"/>
      </top>
      <bottom style="thin">
        <color indexed="31"/>
      </bottom>
      <diagonal/>
    </border>
    <border>
      <left style="medium">
        <color indexed="12"/>
      </left>
      <right/>
      <top style="thin">
        <color indexed="31"/>
      </top>
      <bottom style="medium">
        <color indexed="12"/>
      </bottom>
      <diagonal/>
    </border>
    <border>
      <left style="medium">
        <color indexed="57"/>
      </left>
      <right/>
      <top style="medium">
        <color indexed="57"/>
      </top>
      <bottom style="thin">
        <color indexed="31"/>
      </bottom>
      <diagonal/>
    </border>
    <border>
      <left style="medium">
        <color indexed="57"/>
      </left>
      <right/>
      <top style="thin">
        <color indexed="31"/>
      </top>
      <bottom style="thin">
        <color indexed="31"/>
      </bottom>
      <diagonal/>
    </border>
    <border>
      <left style="medium">
        <color indexed="57"/>
      </left>
      <right/>
      <top style="thin">
        <color indexed="31"/>
      </top>
      <bottom style="medium">
        <color indexed="57"/>
      </bottom>
      <diagonal/>
    </border>
    <border>
      <left style="thin">
        <color indexed="31"/>
      </left>
      <right/>
      <top/>
      <bottom style="thin">
        <color indexed="31"/>
      </bottom>
      <diagonal/>
    </border>
    <border>
      <left style="medium">
        <color indexed="10"/>
      </left>
      <right style="medium">
        <color indexed="10"/>
      </right>
      <top style="medium">
        <color indexed="10"/>
      </top>
      <bottom style="thin">
        <color indexed="31"/>
      </bottom>
      <diagonal/>
    </border>
    <border>
      <left style="medium">
        <color indexed="57"/>
      </left>
      <right/>
      <top style="medium">
        <color indexed="57"/>
      </top>
      <bottom style="medium">
        <color indexed="57"/>
      </bottom>
      <diagonal/>
    </border>
    <border>
      <left style="medium">
        <color indexed="10"/>
      </left>
      <right style="medium">
        <color indexed="10"/>
      </right>
      <top style="medium">
        <color indexed="10"/>
      </top>
      <bottom/>
      <diagonal/>
    </border>
    <border>
      <left/>
      <right/>
      <top style="medium">
        <color indexed="57"/>
      </top>
      <bottom style="medium">
        <color indexed="57"/>
      </bottom>
      <diagonal/>
    </border>
    <border>
      <left style="medium">
        <color indexed="52"/>
      </left>
      <right style="medium">
        <color indexed="52"/>
      </right>
      <top style="medium">
        <color indexed="52"/>
      </top>
      <bottom/>
      <diagonal/>
    </border>
    <border>
      <left style="medium">
        <color indexed="10"/>
      </left>
      <right style="medium">
        <color indexed="10"/>
      </right>
      <top/>
      <bottom style="thin">
        <color indexed="31"/>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thin">
        <color indexed="22"/>
      </left>
      <right/>
      <top style="thin">
        <color indexed="64"/>
      </top>
      <bottom/>
      <diagonal/>
    </border>
    <border>
      <left/>
      <right/>
      <top/>
      <bottom style="thin">
        <color indexed="31"/>
      </bottom>
      <diagonal/>
    </border>
    <border>
      <left style="thin">
        <color indexed="64"/>
      </left>
      <right style="thin">
        <color indexed="31"/>
      </right>
      <top style="thin">
        <color indexed="64"/>
      </top>
      <bottom style="thin">
        <color indexed="31"/>
      </bottom>
      <diagonal/>
    </border>
    <border>
      <left style="thin">
        <color indexed="31"/>
      </left>
      <right style="thin">
        <color indexed="31"/>
      </right>
      <top style="thin">
        <color indexed="64"/>
      </top>
      <bottom style="thin">
        <color indexed="31"/>
      </bottom>
      <diagonal/>
    </border>
    <border>
      <left style="thin">
        <color indexed="31"/>
      </left>
      <right style="thin">
        <color indexed="64"/>
      </right>
      <top style="thin">
        <color indexed="64"/>
      </top>
      <bottom style="thin">
        <color indexed="31"/>
      </bottom>
      <diagonal/>
    </border>
    <border>
      <left/>
      <right style="thin">
        <color indexed="31"/>
      </right>
      <top/>
      <bottom style="thin">
        <color indexed="64"/>
      </bottom>
      <diagonal/>
    </border>
    <border>
      <left style="thin">
        <color indexed="64"/>
      </left>
      <right/>
      <top style="thin">
        <color indexed="64"/>
      </top>
      <bottom style="thin">
        <color indexed="31"/>
      </bottom>
      <diagonal/>
    </border>
    <border>
      <left/>
      <right/>
      <top style="thin">
        <color indexed="64"/>
      </top>
      <bottom style="thin">
        <color indexed="31"/>
      </bottom>
      <diagonal/>
    </border>
    <border>
      <left/>
      <right style="thin">
        <color indexed="64"/>
      </right>
      <top style="thin">
        <color indexed="64"/>
      </top>
      <bottom style="thin">
        <color indexed="31"/>
      </bottom>
      <diagonal/>
    </border>
  </borders>
  <cellStyleXfs count="46">
    <xf numFmtId="0" fontId="0" fillId="0" borderId="0"/>
    <xf numFmtId="0" fontId="3" fillId="0" borderId="0" applyFill="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2" fillId="21" borderId="2" applyNumberFormat="0" applyAlignment="0" applyProtection="0"/>
    <xf numFmtId="0" fontId="33" fillId="0" borderId="0" applyNumberFormat="0" applyFill="0" applyBorder="0" applyAlignment="0" applyProtection="0"/>
    <xf numFmtId="0" fontId="34" fillId="4"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6" fillId="0" borderId="0" applyNumberFormat="0" applyFill="0" applyBorder="0" applyAlignment="0" applyProtection="0">
      <alignment vertical="top"/>
      <protection locked="0"/>
    </xf>
    <xf numFmtId="15" fontId="7" fillId="22" borderId="0" applyNumberFormat="0" applyFill="0" applyBorder="0" applyAlignment="0">
      <alignment horizontal="center"/>
      <protection locked="0"/>
    </xf>
    <xf numFmtId="0" fontId="38" fillId="0" borderId="6" applyNumberFormat="0" applyFill="0" applyAlignment="0" applyProtection="0"/>
    <xf numFmtId="15" fontId="8" fillId="0" borderId="0" applyFill="0" applyBorder="0">
      <alignment horizontal="right"/>
    </xf>
    <xf numFmtId="0" fontId="39" fillId="23" borderId="0" applyNumberFormat="0" applyBorder="0" applyAlignment="0" applyProtection="0"/>
    <xf numFmtId="0" fontId="1" fillId="24" borderId="7" applyNumberFormat="0" applyFont="0" applyAlignment="0" applyProtection="0"/>
    <xf numFmtId="0" fontId="40" fillId="20" borderId="8" applyNumberFormat="0" applyAlignment="0" applyProtection="0"/>
    <xf numFmtId="9" fontId="1"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cellStyleXfs>
  <cellXfs count="1832">
    <xf numFmtId="0" fontId="0" fillId="0" borderId="0" xfId="0"/>
    <xf numFmtId="164" fontId="0" fillId="0" borderId="0" xfId="0" applyNumberFormat="1"/>
    <xf numFmtId="0" fontId="0" fillId="0" borderId="0" xfId="0" quotePrefix="1"/>
    <xf numFmtId="0" fontId="0" fillId="25" borderId="0" xfId="0" applyFill="1"/>
    <xf numFmtId="2" fontId="0" fillId="0" borderId="0" xfId="0" applyNumberFormat="1"/>
    <xf numFmtId="0" fontId="0" fillId="0" borderId="0" xfId="0" applyNumberFormat="1"/>
    <xf numFmtId="0" fontId="0" fillId="0" borderId="0" xfId="0" applyFill="1"/>
    <xf numFmtId="0" fontId="0" fillId="0" borderId="0" xfId="0" applyFill="1" applyAlignment="1">
      <alignment horizontal="center"/>
    </xf>
    <xf numFmtId="9" fontId="0" fillId="0" borderId="0" xfId="0" applyNumberFormat="1"/>
    <xf numFmtId="0" fontId="0" fillId="0" borderId="0" xfId="0" applyNumberFormat="1" applyBorder="1" applyAlignment="1">
      <alignment horizontal="center"/>
    </xf>
    <xf numFmtId="0" fontId="0" fillId="0" borderId="0" xfId="0" applyNumberFormat="1" applyAlignment="1"/>
    <xf numFmtId="0" fontId="0" fillId="0" borderId="10" xfId="0" applyNumberFormat="1" applyBorder="1" applyAlignment="1"/>
    <xf numFmtId="0" fontId="0" fillId="0" borderId="0" xfId="0" applyNumberFormat="1" applyAlignment="1">
      <alignment horizontal="right"/>
    </xf>
    <xf numFmtId="0" fontId="5" fillId="0" borderId="0" xfId="0" applyFont="1" applyFill="1"/>
    <xf numFmtId="1" fontId="0" fillId="0" borderId="0" xfId="0" applyNumberFormat="1" applyFill="1" applyBorder="1"/>
    <xf numFmtId="1" fontId="0" fillId="0" borderId="0" xfId="0" applyNumberFormat="1"/>
    <xf numFmtId="0" fontId="0" fillId="0" borderId="0" xfId="0" applyFill="1" applyAlignment="1">
      <alignment wrapText="1"/>
    </xf>
    <xf numFmtId="0" fontId="4" fillId="0" borderId="0" xfId="0" applyFont="1" applyFill="1"/>
    <xf numFmtId="172" fontId="0" fillId="0" borderId="0" xfId="0" applyNumberFormat="1"/>
    <xf numFmtId="0" fontId="1" fillId="0" borderId="0" xfId="0" applyFont="1"/>
    <xf numFmtId="0" fontId="0" fillId="0" borderId="0" xfId="0" applyBorder="1"/>
    <xf numFmtId="0" fontId="0" fillId="0" borderId="0" xfId="0" applyAlignment="1">
      <alignment wrapText="1"/>
    </xf>
    <xf numFmtId="0" fontId="0" fillId="0" borderId="0" xfId="0" applyAlignment="1"/>
    <xf numFmtId="9" fontId="0" fillId="0" borderId="0" xfId="0" applyNumberFormat="1" applyFill="1"/>
    <xf numFmtId="171" fontId="0" fillId="0" borderId="0" xfId="0" applyNumberFormat="1" applyFill="1"/>
    <xf numFmtId="0" fontId="1" fillId="0" borderId="0" xfId="0" applyFont="1" applyBorder="1"/>
    <xf numFmtId="0" fontId="1" fillId="0" borderId="0" xfId="0" applyFont="1" applyFill="1" applyBorder="1"/>
    <xf numFmtId="0" fontId="6" fillId="0" borderId="0" xfId="35" applyAlignment="1" applyProtection="1"/>
    <xf numFmtId="0" fontId="12" fillId="0" borderId="0" xfId="35" applyFont="1" applyAlignment="1" applyProtection="1"/>
    <xf numFmtId="0" fontId="0" fillId="0" borderId="0" xfId="0" applyAlignment="1">
      <alignment horizontal="right"/>
    </xf>
    <xf numFmtId="0" fontId="0" fillId="0" borderId="11" xfId="0" applyFill="1" applyBorder="1"/>
    <xf numFmtId="0" fontId="0" fillId="0" borderId="12" xfId="0" applyFill="1" applyBorder="1"/>
    <xf numFmtId="0" fontId="0" fillId="0" borderId="0" xfId="0" applyProtection="1">
      <protection hidden="1"/>
    </xf>
    <xf numFmtId="0" fontId="0" fillId="0" borderId="0" xfId="0" applyBorder="1" applyProtection="1">
      <protection hidden="1"/>
    </xf>
    <xf numFmtId="0" fontId="1" fillId="0" borderId="0" xfId="0" applyFont="1" applyFill="1" applyProtection="1">
      <protection hidden="1"/>
    </xf>
    <xf numFmtId="169" fontId="0" fillId="0" borderId="7" xfId="0" applyNumberFormat="1" applyFill="1" applyBorder="1" applyProtection="1">
      <protection hidden="1"/>
    </xf>
    <xf numFmtId="1" fontId="4" fillId="0" borderId="13" xfId="0" applyNumberFormat="1" applyFont="1" applyFill="1" applyBorder="1"/>
    <xf numFmtId="0" fontId="4" fillId="0" borderId="14" xfId="0" applyFont="1" applyFill="1" applyBorder="1"/>
    <xf numFmtId="0" fontId="4" fillId="0" borderId="15" xfId="0" applyFont="1" applyFill="1" applyBorder="1"/>
    <xf numFmtId="0" fontId="4" fillId="0" borderId="0" xfId="0" applyFont="1" applyFill="1" applyAlignment="1">
      <alignment horizontal="center"/>
    </xf>
    <xf numFmtId="1" fontId="0" fillId="0" borderId="10" xfId="0" applyNumberFormat="1" applyFill="1" applyBorder="1"/>
    <xf numFmtId="9" fontId="1" fillId="0" borderId="0" xfId="42" applyFill="1"/>
    <xf numFmtId="1" fontId="0" fillId="0" borderId="0" xfId="0" applyNumberFormat="1" applyFill="1"/>
    <xf numFmtId="1" fontId="1" fillId="0" borderId="0" xfId="42" applyNumberFormat="1" applyFill="1"/>
    <xf numFmtId="1" fontId="0" fillId="0" borderId="16" xfId="0" applyNumberFormat="1" applyFill="1" applyBorder="1"/>
    <xf numFmtId="1" fontId="0" fillId="0" borderId="17" xfId="0" applyNumberFormat="1" applyFill="1" applyBorder="1"/>
    <xf numFmtId="41" fontId="0" fillId="0" borderId="0" xfId="0" applyNumberFormat="1" applyFill="1"/>
    <xf numFmtId="0" fontId="0" fillId="25" borderId="18" xfId="0" applyFill="1" applyBorder="1"/>
    <xf numFmtId="0" fontId="0" fillId="25" borderId="19" xfId="0" applyFill="1" applyBorder="1"/>
    <xf numFmtId="0" fontId="0" fillId="25" borderId="0" xfId="0" applyFill="1" applyBorder="1"/>
    <xf numFmtId="0" fontId="0" fillId="25" borderId="20" xfId="0" applyFill="1" applyBorder="1"/>
    <xf numFmtId="0" fontId="9" fillId="25" borderId="0" xfId="0" applyFont="1" applyFill="1" applyBorder="1" applyAlignment="1">
      <alignment horizontal="center" vertical="top"/>
    </xf>
    <xf numFmtId="0" fontId="6" fillId="25" borderId="0" xfId="35" applyFill="1" applyBorder="1" applyAlignment="1" applyProtection="1">
      <alignment vertical="top" wrapText="1"/>
    </xf>
    <xf numFmtId="0" fontId="0" fillId="25" borderId="0" xfId="0" applyFill="1" applyBorder="1" applyAlignment="1">
      <alignment vertical="top" wrapText="1"/>
    </xf>
    <xf numFmtId="0" fontId="0" fillId="25" borderId="0" xfId="0" applyNumberFormat="1" applyFill="1" applyBorder="1"/>
    <xf numFmtId="0" fontId="12" fillId="25" borderId="0" xfId="35" applyFont="1" applyFill="1" applyBorder="1" applyAlignment="1" applyProtection="1"/>
    <xf numFmtId="0" fontId="11" fillId="25" borderId="0" xfId="0" applyFont="1" applyFill="1" applyBorder="1"/>
    <xf numFmtId="0" fontId="0" fillId="25" borderId="0" xfId="0" applyFill="1" applyBorder="1" applyAlignment="1">
      <alignment vertical="top"/>
    </xf>
    <xf numFmtId="0" fontId="15" fillId="25" borderId="0" xfId="0" applyFont="1" applyFill="1" applyBorder="1"/>
    <xf numFmtId="0" fontId="11" fillId="25" borderId="0" xfId="0" applyFont="1" applyFill="1"/>
    <xf numFmtId="0" fontId="0" fillId="0" borderId="0" xfId="0" applyFill="1" applyBorder="1" applyAlignment="1">
      <alignment vertical="top"/>
    </xf>
    <xf numFmtId="0" fontId="1" fillId="0" borderId="0" xfId="0" applyFont="1" applyFill="1" applyBorder="1" applyAlignment="1">
      <alignment horizontal="center" textRotation="90"/>
    </xf>
    <xf numFmtId="0" fontId="0" fillId="0" borderId="0" xfId="0" applyNumberFormat="1" applyFill="1" applyBorder="1" applyAlignment="1">
      <alignment horizontal="center"/>
    </xf>
    <xf numFmtId="0" fontId="0" fillId="0" borderId="0" xfId="0" applyAlignment="1" applyProtection="1">
      <alignment horizontal="center"/>
      <protection hidden="1"/>
    </xf>
    <xf numFmtId="0" fontId="0" fillId="0" borderId="21" xfId="0" applyBorder="1" applyProtection="1">
      <protection hidden="1"/>
    </xf>
    <xf numFmtId="0" fontId="0" fillId="0" borderId="22" xfId="0" applyBorder="1" applyProtection="1">
      <protection hidden="1"/>
    </xf>
    <xf numFmtId="0" fontId="0" fillId="0" borderId="23" xfId="0" applyBorder="1" applyProtection="1">
      <protection hidden="1"/>
    </xf>
    <xf numFmtId="0" fontId="0" fillId="0" borderId="24" xfId="0" applyBorder="1" applyProtection="1">
      <protection hidden="1"/>
    </xf>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0" fontId="0" fillId="0" borderId="28" xfId="0" applyBorder="1" applyProtection="1">
      <protection hidden="1"/>
    </xf>
    <xf numFmtId="0" fontId="0" fillId="0" borderId="29" xfId="0" applyBorder="1" applyProtection="1">
      <protection hidden="1"/>
    </xf>
    <xf numFmtId="0" fontId="5" fillId="0" borderId="0" xfId="0" applyFont="1" applyProtection="1">
      <protection hidden="1"/>
    </xf>
    <xf numFmtId="0" fontId="0" fillId="0" borderId="0" xfId="0" applyBorder="1" applyAlignment="1" applyProtection="1">
      <alignment horizontal="center"/>
      <protection hidden="1"/>
    </xf>
    <xf numFmtId="0" fontId="0" fillId="0" borderId="0" xfId="0" applyFill="1" applyBorder="1" applyAlignment="1" applyProtection="1">
      <alignment vertical="top"/>
      <protection hidden="1"/>
    </xf>
    <xf numFmtId="0" fontId="0" fillId="0" borderId="0" xfId="0" applyFill="1" applyBorder="1" applyAlignment="1" applyProtection="1">
      <alignment horizontal="center" vertical="top"/>
      <protection hidden="1"/>
    </xf>
    <xf numFmtId="0" fontId="11" fillId="0" borderId="30" xfId="0" applyFont="1" applyBorder="1" applyProtection="1">
      <protection hidden="1"/>
    </xf>
    <xf numFmtId="0" fontId="11" fillId="0" borderId="31" xfId="0" applyFont="1" applyBorder="1" applyAlignment="1" applyProtection="1">
      <alignment horizontal="center"/>
      <protection hidden="1"/>
    </xf>
    <xf numFmtId="0" fontId="4" fillId="0" borderId="0" xfId="0" applyFont="1" applyBorder="1" applyProtection="1">
      <protection hidden="1"/>
    </xf>
    <xf numFmtId="0" fontId="0" fillId="0" borderId="0" xfId="0" applyFill="1" applyBorder="1" applyProtection="1">
      <protection hidden="1"/>
    </xf>
    <xf numFmtId="169" fontId="0" fillId="0" borderId="0" xfId="0" applyNumberFormat="1" applyFill="1" applyBorder="1" applyProtection="1">
      <protection hidden="1"/>
    </xf>
    <xf numFmtId="169" fontId="0" fillId="0" borderId="32" xfId="0" applyNumberFormat="1" applyFill="1" applyBorder="1" applyProtection="1">
      <protection hidden="1"/>
    </xf>
    <xf numFmtId="0" fontId="1" fillId="0" borderId="0" xfId="0" applyFont="1" applyFill="1" applyBorder="1" applyProtection="1">
      <protection hidden="1"/>
    </xf>
    <xf numFmtId="9" fontId="1" fillId="0" borderId="0" xfId="0" applyNumberFormat="1" applyFont="1" applyFill="1" applyBorder="1" applyProtection="1">
      <protection hidden="1"/>
    </xf>
    <xf numFmtId="0" fontId="0" fillId="0" borderId="0" xfId="0" applyBorder="1" applyAlignment="1" applyProtection="1">
      <alignment wrapText="1"/>
      <protection hidden="1"/>
    </xf>
    <xf numFmtId="0" fontId="1" fillId="0" borderId="0" xfId="0" applyNumberFormat="1" applyFont="1" applyFill="1" applyBorder="1" applyProtection="1">
      <protection hidden="1"/>
    </xf>
    <xf numFmtId="165" fontId="0" fillId="0" borderId="0" xfId="0" applyNumberFormat="1" applyBorder="1" applyProtection="1">
      <protection hidden="1"/>
    </xf>
    <xf numFmtId="1" fontId="0" fillId="0" borderId="0" xfId="0" applyNumberFormat="1" applyFill="1" applyBorder="1" applyProtection="1">
      <protection hidden="1"/>
    </xf>
    <xf numFmtId="1" fontId="0" fillId="0" borderId="0" xfId="0" applyNumberFormat="1" applyBorder="1" applyProtection="1">
      <protection hidden="1"/>
    </xf>
    <xf numFmtId="164" fontId="4" fillId="0" borderId="0" xfId="0" applyNumberFormat="1" applyFont="1" applyFill="1" applyBorder="1" applyProtection="1">
      <protection hidden="1"/>
    </xf>
    <xf numFmtId="164" fontId="4" fillId="0" borderId="0" xfId="0" applyNumberFormat="1" applyFont="1" applyBorder="1" applyProtection="1">
      <protection hidden="1"/>
    </xf>
    <xf numFmtId="169" fontId="0" fillId="0" borderId="0" xfId="0" applyNumberFormat="1" applyBorder="1" applyProtection="1">
      <protection hidden="1"/>
    </xf>
    <xf numFmtId="169" fontId="0" fillId="26" borderId="0" xfId="0" applyNumberFormat="1" applyFill="1" applyBorder="1" applyProtection="1">
      <protection hidden="1"/>
    </xf>
    <xf numFmtId="169" fontId="4" fillId="0" borderId="0" xfId="0" applyNumberFormat="1" applyFont="1" applyBorder="1" applyProtection="1">
      <protection hidden="1"/>
    </xf>
    <xf numFmtId="169" fontId="4" fillId="0" borderId="0" xfId="0" applyNumberFormat="1" applyFont="1" applyFill="1" applyBorder="1" applyProtection="1">
      <protection hidden="1"/>
    </xf>
    <xf numFmtId="0" fontId="18" fillId="0" borderId="0" xfId="0" applyFont="1"/>
    <xf numFmtId="0" fontId="5" fillId="0" borderId="0" xfId="0" applyFont="1" applyBorder="1" applyProtection="1">
      <protection hidden="1"/>
    </xf>
    <xf numFmtId="0" fontId="22" fillId="0" borderId="0" xfId="0" applyFont="1" applyBorder="1" applyProtection="1">
      <protection hidden="1"/>
    </xf>
    <xf numFmtId="0" fontId="18" fillId="0" borderId="0" xfId="0" applyFont="1" applyBorder="1" applyProtection="1">
      <protection hidden="1"/>
    </xf>
    <xf numFmtId="0" fontId="0" fillId="0" borderId="0" xfId="0" applyBorder="1" applyAlignment="1"/>
    <xf numFmtId="0" fontId="10" fillId="0" borderId="33" xfId="0" applyFont="1" applyFill="1" applyBorder="1" applyProtection="1">
      <protection hidden="1"/>
    </xf>
    <xf numFmtId="0" fontId="0" fillId="0" borderId="34" xfId="0" applyBorder="1" applyProtection="1">
      <protection hidden="1"/>
    </xf>
    <xf numFmtId="0" fontId="0" fillId="0" borderId="35" xfId="0" applyBorder="1" applyProtection="1">
      <protection hidden="1"/>
    </xf>
    <xf numFmtId="0" fontId="0" fillId="0" borderId="35" xfId="0" applyBorder="1" applyAlignment="1" applyProtection="1">
      <alignment horizontal="center"/>
      <protection hidden="1"/>
    </xf>
    <xf numFmtId="0" fontId="0" fillId="0" borderId="35" xfId="0" applyBorder="1"/>
    <xf numFmtId="0" fontId="0" fillId="0" borderId="35" xfId="0" applyFill="1" applyBorder="1"/>
    <xf numFmtId="0" fontId="20" fillId="0" borderId="36" xfId="0" applyFont="1" applyFill="1" applyBorder="1" applyAlignment="1">
      <alignment horizontal="center" textRotation="90"/>
    </xf>
    <xf numFmtId="0" fontId="0" fillId="0" borderId="35" xfId="0" applyFill="1" applyBorder="1" applyAlignment="1">
      <alignment horizontal="center"/>
    </xf>
    <xf numFmtId="0" fontId="11" fillId="0" borderId="22" xfId="0" applyFont="1" applyBorder="1" applyAlignment="1" applyProtection="1">
      <alignment horizontal="center"/>
      <protection hidden="1"/>
    </xf>
    <xf numFmtId="0" fontId="0" fillId="0" borderId="37" xfId="0" applyFill="1" applyBorder="1"/>
    <xf numFmtId="0" fontId="4" fillId="0" borderId="0" xfId="0" applyFont="1"/>
    <xf numFmtId="0" fontId="0" fillId="27" borderId="0" xfId="0" applyFill="1"/>
    <xf numFmtId="0" fontId="5" fillId="28" borderId="0" xfId="0" applyFont="1" applyFill="1" applyBorder="1" applyProtection="1">
      <protection hidden="1"/>
    </xf>
    <xf numFmtId="10" fontId="1" fillId="0" borderId="0" xfId="42" applyNumberFormat="1" applyFill="1"/>
    <xf numFmtId="0" fontId="4" fillId="0" borderId="0" xfId="0" applyFont="1" applyFill="1" applyAlignment="1">
      <alignment horizontal="center" wrapText="1"/>
    </xf>
    <xf numFmtId="0" fontId="4" fillId="0" borderId="0" xfId="0" applyFont="1" applyFill="1" applyAlignment="1">
      <alignment wrapText="1"/>
    </xf>
    <xf numFmtId="0" fontId="1" fillId="0" borderId="0" xfId="0" applyNumberFormat="1" applyFont="1" applyFill="1"/>
    <xf numFmtId="0" fontId="1" fillId="0" borderId="38" xfId="0" applyNumberFormat="1" applyFont="1" applyFill="1" applyBorder="1"/>
    <xf numFmtId="41" fontId="10" fillId="0" borderId="0" xfId="0" applyNumberFormat="1" applyFont="1" applyFill="1"/>
    <xf numFmtId="0" fontId="0" fillId="0" borderId="39" xfId="0" applyFill="1" applyBorder="1" applyAlignment="1">
      <alignment wrapText="1"/>
    </xf>
    <xf numFmtId="9" fontId="1" fillId="0" borderId="0" xfId="0" applyNumberFormat="1" applyFont="1" applyFill="1"/>
    <xf numFmtId="0" fontId="1" fillId="0" borderId="0" xfId="42" applyNumberFormat="1" applyFill="1"/>
    <xf numFmtId="10" fontId="0" fillId="0" borderId="0" xfId="0" applyNumberFormat="1" applyFill="1"/>
    <xf numFmtId="1" fontId="0" fillId="0" borderId="0" xfId="0" applyNumberFormat="1" applyProtection="1">
      <protection hidden="1"/>
    </xf>
    <xf numFmtId="0" fontId="0" fillId="0" borderId="0" xfId="0" applyFill="1" applyProtection="1">
      <protection hidden="1"/>
    </xf>
    <xf numFmtId="169" fontId="0" fillId="0" borderId="40" xfId="0" applyNumberFormat="1" applyFill="1" applyBorder="1" applyProtection="1">
      <protection hidden="1"/>
    </xf>
    <xf numFmtId="169" fontId="0" fillId="0" borderId="41" xfId="0" applyNumberFormat="1" applyFill="1" applyBorder="1" applyProtection="1">
      <protection hidden="1"/>
    </xf>
    <xf numFmtId="0" fontId="4" fillId="0" borderId="0" xfId="0" applyFont="1" applyFill="1" applyBorder="1" applyProtection="1">
      <protection hidden="1"/>
    </xf>
    <xf numFmtId="0" fontId="0" fillId="0" borderId="0" xfId="0" applyFill="1" applyBorder="1" applyAlignment="1" applyProtection="1">
      <alignment horizontal="center"/>
      <protection hidden="1"/>
    </xf>
    <xf numFmtId="10" fontId="1" fillId="0" borderId="0" xfId="42" applyNumberFormat="1" applyFont="1" applyBorder="1"/>
    <xf numFmtId="174" fontId="1" fillId="0" borderId="0" xfId="42" applyNumberFormat="1" applyFont="1" applyBorder="1" applyAlignment="1">
      <alignment horizontal="center"/>
    </xf>
    <xf numFmtId="169" fontId="1" fillId="0" borderId="0" xfId="0" applyNumberFormat="1" applyFont="1" applyBorder="1"/>
    <xf numFmtId="2" fontId="1" fillId="0" borderId="0" xfId="0" applyNumberFormat="1" applyFont="1" applyBorder="1"/>
    <xf numFmtId="0" fontId="1" fillId="0" borderId="0" xfId="0" applyNumberFormat="1" applyFont="1" applyBorder="1" applyAlignment="1">
      <alignment horizontal="left"/>
    </xf>
    <xf numFmtId="168" fontId="1" fillId="0" borderId="0" xfId="0" applyNumberFormat="1" applyFont="1" applyBorder="1"/>
    <xf numFmtId="168" fontId="1" fillId="0" borderId="0" xfId="42" applyNumberFormat="1" applyFont="1" applyBorder="1"/>
    <xf numFmtId="9" fontId="1" fillId="0" borderId="0" xfId="0" applyNumberFormat="1" applyFont="1" applyBorder="1"/>
    <xf numFmtId="174" fontId="1" fillId="0" borderId="0" xfId="42" applyNumberFormat="1" applyFont="1" applyFill="1" applyBorder="1" applyAlignment="1">
      <alignment horizontal="center"/>
    </xf>
    <xf numFmtId="174" fontId="0" fillId="0" borderId="0" xfId="0" applyNumberFormat="1"/>
    <xf numFmtId="0" fontId="6" fillId="0" borderId="0" xfId="35" applyAlignment="1" applyProtection="1">
      <protection hidden="1"/>
    </xf>
    <xf numFmtId="0" fontId="1" fillId="0" borderId="0" xfId="0" applyFont="1" applyBorder="1" applyProtection="1">
      <protection hidden="1"/>
    </xf>
    <xf numFmtId="0" fontId="1" fillId="0" borderId="42" xfId="0" applyFont="1" applyBorder="1" applyProtection="1">
      <protection hidden="1"/>
    </xf>
    <xf numFmtId="0" fontId="1" fillId="0" borderId="43" xfId="0" applyFont="1" applyBorder="1" applyProtection="1">
      <protection hidden="1"/>
    </xf>
    <xf numFmtId="0" fontId="1" fillId="0" borderId="0" xfId="0" applyFont="1" applyProtection="1">
      <protection hidden="1"/>
    </xf>
    <xf numFmtId="0" fontId="1" fillId="0" borderId="44" xfId="0" applyFont="1" applyBorder="1" applyProtection="1">
      <protection hidden="1"/>
    </xf>
    <xf numFmtId="0" fontId="1" fillId="0" borderId="39" xfId="0" applyFont="1" applyBorder="1" applyProtection="1">
      <protection hidden="1"/>
    </xf>
    <xf numFmtId="0" fontId="1" fillId="0" borderId="45" xfId="0" applyFont="1" applyBorder="1" applyProtection="1">
      <protection hidden="1"/>
    </xf>
    <xf numFmtId="0" fontId="1" fillId="0" borderId="46" xfId="0" applyFont="1" applyBorder="1" applyProtection="1">
      <protection hidden="1"/>
    </xf>
    <xf numFmtId="0" fontId="1" fillId="0" borderId="47" xfId="0" applyFont="1" applyBorder="1" applyProtection="1">
      <protection hidden="1"/>
    </xf>
    <xf numFmtId="0" fontId="1" fillId="0" borderId="48" xfId="0" applyFont="1" applyBorder="1" applyProtection="1">
      <protection hidden="1"/>
    </xf>
    <xf numFmtId="0" fontId="1" fillId="0" borderId="49" xfId="0" applyFont="1" applyBorder="1" applyProtection="1">
      <protection hidden="1"/>
    </xf>
    <xf numFmtId="0" fontId="1" fillId="0" borderId="50" xfId="0" applyFont="1" applyBorder="1" applyProtection="1">
      <protection hidden="1"/>
    </xf>
    <xf numFmtId="9" fontId="1" fillId="0" borderId="39" xfId="42" applyFont="1" applyBorder="1" applyProtection="1">
      <protection hidden="1"/>
    </xf>
    <xf numFmtId="0" fontId="1" fillId="1" borderId="45" xfId="0" applyFont="1" applyFill="1" applyBorder="1" applyProtection="1">
      <protection hidden="1"/>
    </xf>
    <xf numFmtId="0" fontId="1" fillId="1" borderId="32" xfId="0" applyFont="1" applyFill="1" applyBorder="1" applyProtection="1">
      <protection hidden="1"/>
    </xf>
    <xf numFmtId="0" fontId="1" fillId="1" borderId="51" xfId="0" applyFont="1" applyFill="1" applyBorder="1" applyProtection="1">
      <protection hidden="1"/>
    </xf>
    <xf numFmtId="0" fontId="1" fillId="27" borderId="44" xfId="0" applyFont="1" applyFill="1" applyBorder="1" applyProtection="1">
      <protection hidden="1"/>
    </xf>
    <xf numFmtId="0" fontId="1" fillId="27" borderId="7" xfId="0" applyFont="1" applyFill="1" applyBorder="1" applyProtection="1">
      <protection hidden="1"/>
    </xf>
    <xf numFmtId="0" fontId="1" fillId="27" borderId="52" xfId="0" applyFont="1" applyFill="1" applyBorder="1" applyProtection="1">
      <protection hidden="1"/>
    </xf>
    <xf numFmtId="0" fontId="5" fillId="29" borderId="44" xfId="0" applyFont="1" applyFill="1" applyBorder="1" applyProtection="1">
      <protection hidden="1"/>
    </xf>
    <xf numFmtId="0" fontId="5" fillId="29" borderId="7" xfId="0" applyFont="1" applyFill="1" applyBorder="1" applyProtection="1">
      <protection hidden="1"/>
    </xf>
    <xf numFmtId="0" fontId="5" fillId="29" borderId="52" xfId="0" applyFont="1" applyFill="1" applyBorder="1" applyProtection="1">
      <protection hidden="1"/>
    </xf>
    <xf numFmtId="9" fontId="1" fillId="0" borderId="49" xfId="42" applyFont="1" applyBorder="1" applyProtection="1">
      <protection hidden="1"/>
    </xf>
    <xf numFmtId="0" fontId="5" fillId="30" borderId="48" xfId="0" applyFont="1" applyFill="1" applyBorder="1" applyProtection="1">
      <protection hidden="1"/>
    </xf>
    <xf numFmtId="0" fontId="5" fillId="30" borderId="53" xfId="0" applyFont="1" applyFill="1" applyBorder="1" applyProtection="1">
      <protection hidden="1"/>
    </xf>
    <xf numFmtId="0" fontId="5" fillId="30" borderId="54" xfId="0" applyFont="1" applyFill="1" applyBorder="1" applyProtection="1">
      <protection hidden="1"/>
    </xf>
    <xf numFmtId="0" fontId="12" fillId="0" borderId="0" xfId="35" applyFont="1" applyFill="1" applyBorder="1" applyAlignment="1" applyProtection="1">
      <protection locked="0" hidden="1"/>
    </xf>
    <xf numFmtId="0" fontId="12" fillId="0" borderId="0" xfId="35" applyFont="1" applyAlignment="1" applyProtection="1">
      <protection hidden="1"/>
    </xf>
    <xf numFmtId="49" fontId="0" fillId="0" borderId="0" xfId="0" applyNumberFormat="1"/>
    <xf numFmtId="0" fontId="0" fillId="31" borderId="13" xfId="0" applyFill="1" applyBorder="1" applyProtection="1">
      <protection hidden="1"/>
    </xf>
    <xf numFmtId="0" fontId="0" fillId="31" borderId="15" xfId="0" applyFill="1" applyBorder="1" applyProtection="1">
      <protection hidden="1"/>
    </xf>
    <xf numFmtId="0" fontId="0" fillId="31" borderId="11" xfId="0" applyFill="1" applyBorder="1" applyProtection="1">
      <protection hidden="1"/>
    </xf>
    <xf numFmtId="0" fontId="0" fillId="31" borderId="10" xfId="0" applyFill="1" applyBorder="1" applyProtection="1">
      <protection hidden="1"/>
    </xf>
    <xf numFmtId="0" fontId="0" fillId="31" borderId="12" xfId="0" applyFill="1" applyBorder="1" applyProtection="1">
      <protection hidden="1"/>
    </xf>
    <xf numFmtId="0" fontId="0" fillId="31" borderId="17" xfId="0" applyFill="1" applyBorder="1" applyProtection="1">
      <protection hidden="1"/>
    </xf>
    <xf numFmtId="0" fontId="1" fillId="32" borderId="13" xfId="0" applyFont="1" applyFill="1" applyBorder="1" applyProtection="1">
      <protection hidden="1"/>
    </xf>
    <xf numFmtId="0" fontId="1" fillId="32" borderId="14" xfId="0" applyFont="1" applyFill="1" applyBorder="1" applyProtection="1">
      <protection hidden="1"/>
    </xf>
    <xf numFmtId="0" fontId="1" fillId="33" borderId="14" xfId="0" applyFont="1" applyFill="1" applyBorder="1" applyProtection="1">
      <protection hidden="1"/>
    </xf>
    <xf numFmtId="0" fontId="1" fillId="32" borderId="15" xfId="0" applyFont="1" applyFill="1" applyBorder="1" applyProtection="1">
      <protection hidden="1"/>
    </xf>
    <xf numFmtId="0" fontId="0" fillId="32" borderId="11" xfId="0" applyFill="1" applyBorder="1" applyProtection="1">
      <protection hidden="1"/>
    </xf>
    <xf numFmtId="0" fontId="0" fillId="32" borderId="10" xfId="0" applyFill="1" applyBorder="1" applyProtection="1">
      <protection hidden="1"/>
    </xf>
    <xf numFmtId="0" fontId="0" fillId="32" borderId="12" xfId="0" applyFill="1" applyBorder="1" applyProtection="1">
      <protection hidden="1"/>
    </xf>
    <xf numFmtId="0" fontId="0" fillId="32" borderId="16" xfId="0" applyFill="1" applyBorder="1" applyProtection="1">
      <protection hidden="1"/>
    </xf>
    <xf numFmtId="0" fontId="1" fillId="32" borderId="16" xfId="0" applyNumberFormat="1" applyFont="1" applyFill="1" applyBorder="1" applyProtection="1">
      <protection hidden="1"/>
    </xf>
    <xf numFmtId="0" fontId="0" fillId="32" borderId="17" xfId="0" applyFill="1" applyBorder="1" applyProtection="1">
      <protection hidden="1"/>
    </xf>
    <xf numFmtId="0" fontId="0" fillId="34" borderId="0" xfId="0" applyFill="1" applyProtection="1">
      <protection hidden="1"/>
    </xf>
    <xf numFmtId="0" fontId="0" fillId="34" borderId="0" xfId="0" applyFill="1" applyBorder="1" applyProtection="1">
      <protection hidden="1"/>
    </xf>
    <xf numFmtId="0" fontId="0" fillId="34" borderId="14" xfId="0" applyFill="1" applyBorder="1" applyProtection="1">
      <protection hidden="1"/>
    </xf>
    <xf numFmtId="0" fontId="0" fillId="34" borderId="15" xfId="0" applyFill="1" applyBorder="1" applyProtection="1">
      <protection hidden="1"/>
    </xf>
    <xf numFmtId="0" fontId="0" fillId="34" borderId="10" xfId="0" applyFill="1" applyBorder="1" applyProtection="1">
      <protection hidden="1"/>
    </xf>
    <xf numFmtId="0" fontId="0" fillId="34" borderId="16" xfId="0" applyFill="1" applyBorder="1" applyProtection="1">
      <protection hidden="1"/>
    </xf>
    <xf numFmtId="0" fontId="0" fillId="34" borderId="17" xfId="0" applyFill="1" applyBorder="1" applyProtection="1">
      <protection hidden="1"/>
    </xf>
    <xf numFmtId="0" fontId="0" fillId="26" borderId="0" xfId="0" applyFill="1" applyProtection="1">
      <protection hidden="1"/>
    </xf>
    <xf numFmtId="0" fontId="0" fillId="34" borderId="13" xfId="0" applyFill="1" applyBorder="1" applyAlignment="1" applyProtection="1">
      <alignment horizontal="center"/>
      <protection hidden="1"/>
    </xf>
    <xf numFmtId="1" fontId="0" fillId="34" borderId="14" xfId="0" applyNumberFormat="1" applyFill="1" applyBorder="1" applyProtection="1">
      <protection hidden="1"/>
    </xf>
    <xf numFmtId="0" fontId="0" fillId="34" borderId="11" xfId="0" applyFill="1" applyBorder="1" applyAlignment="1" applyProtection="1">
      <alignment horizontal="center"/>
      <protection hidden="1"/>
    </xf>
    <xf numFmtId="0" fontId="0" fillId="34" borderId="12" xfId="0" applyFill="1" applyBorder="1" applyAlignment="1" applyProtection="1">
      <alignment horizontal="center"/>
      <protection hidden="1"/>
    </xf>
    <xf numFmtId="0" fontId="5" fillId="29" borderId="13" xfId="0" applyFont="1" applyFill="1" applyBorder="1" applyProtection="1">
      <protection hidden="1"/>
    </xf>
    <xf numFmtId="0" fontId="16" fillId="29" borderId="14" xfId="0" applyFont="1" applyFill="1" applyBorder="1" applyProtection="1">
      <protection hidden="1"/>
    </xf>
    <xf numFmtId="0" fontId="5" fillId="29" borderId="14" xfId="0" applyFont="1" applyFill="1" applyBorder="1" applyAlignment="1" applyProtection="1">
      <alignment horizontal="center"/>
      <protection hidden="1"/>
    </xf>
    <xf numFmtId="0" fontId="0" fillId="0" borderId="11" xfId="0" applyBorder="1" applyProtection="1">
      <protection hidden="1"/>
    </xf>
    <xf numFmtId="0" fontId="0" fillId="0" borderId="11" xfId="0" applyBorder="1" applyAlignment="1" applyProtection="1">
      <alignment wrapText="1"/>
      <protection hidden="1"/>
    </xf>
    <xf numFmtId="0" fontId="13" fillId="28" borderId="12" xfId="0" applyFont="1" applyFill="1" applyBorder="1" applyProtection="1">
      <protection hidden="1"/>
    </xf>
    <xf numFmtId="0" fontId="0" fillId="28" borderId="16" xfId="0" applyFill="1" applyBorder="1" applyProtection="1">
      <protection hidden="1"/>
    </xf>
    <xf numFmtId="0" fontId="5" fillId="28" borderId="16" xfId="0" applyNumberFormat="1" applyFont="1" applyFill="1" applyBorder="1" applyProtection="1">
      <protection hidden="1"/>
    </xf>
    <xf numFmtId="169" fontId="5" fillId="28" borderId="16" xfId="0" applyNumberFormat="1" applyFont="1" applyFill="1" applyBorder="1" applyProtection="1">
      <protection hidden="1"/>
    </xf>
    <xf numFmtId="169" fontId="5" fillId="28" borderId="17" xfId="0" applyNumberFormat="1" applyFont="1" applyFill="1" applyBorder="1" applyProtection="1">
      <protection hidden="1"/>
    </xf>
    <xf numFmtId="0" fontId="10" fillId="0" borderId="13" xfId="0" applyFont="1" applyBorder="1" applyProtection="1">
      <protection hidden="1"/>
    </xf>
    <xf numFmtId="0" fontId="10" fillId="0" borderId="14" xfId="0" applyFont="1" applyBorder="1" applyProtection="1">
      <protection hidden="1"/>
    </xf>
    <xf numFmtId="164" fontId="4" fillId="0" borderId="14" xfId="0" applyNumberFormat="1" applyFont="1" applyFill="1" applyBorder="1" applyProtection="1">
      <protection hidden="1"/>
    </xf>
    <xf numFmtId="164" fontId="4" fillId="0" borderId="14" xfId="0" applyNumberFormat="1" applyFont="1" applyBorder="1" applyProtection="1">
      <protection hidden="1"/>
    </xf>
    <xf numFmtId="164" fontId="4" fillId="0" borderId="15" xfId="0" applyNumberFormat="1" applyFont="1" applyBorder="1" applyProtection="1">
      <protection hidden="1"/>
    </xf>
    <xf numFmtId="169" fontId="0" fillId="0" borderId="52" xfId="0" applyNumberFormat="1" applyFill="1" applyBorder="1" applyProtection="1">
      <protection hidden="1"/>
    </xf>
    <xf numFmtId="169" fontId="0" fillId="0" borderId="10" xfId="0" applyNumberFormat="1" applyFill="1" applyBorder="1" applyProtection="1">
      <protection hidden="1"/>
    </xf>
    <xf numFmtId="0" fontId="0" fillId="0" borderId="11" xfId="0" applyFill="1" applyBorder="1" applyProtection="1">
      <protection hidden="1"/>
    </xf>
    <xf numFmtId="0" fontId="4" fillId="0" borderId="11" xfId="0" applyFont="1" applyBorder="1" applyProtection="1">
      <protection hidden="1"/>
    </xf>
    <xf numFmtId="0" fontId="0" fillId="0" borderId="10" xfId="0" applyFill="1" applyBorder="1" applyProtection="1">
      <protection hidden="1"/>
    </xf>
    <xf numFmtId="164" fontId="4" fillId="0" borderId="10" xfId="0" applyNumberFormat="1" applyFont="1" applyFill="1" applyBorder="1" applyProtection="1">
      <protection hidden="1"/>
    </xf>
    <xf numFmtId="169" fontId="4" fillId="0" borderId="10" xfId="0" applyNumberFormat="1" applyFont="1" applyFill="1" applyBorder="1" applyProtection="1">
      <protection hidden="1"/>
    </xf>
    <xf numFmtId="0" fontId="5" fillId="28" borderId="12" xfId="0" applyFont="1" applyFill="1" applyBorder="1" applyProtection="1">
      <protection hidden="1"/>
    </xf>
    <xf numFmtId="0" fontId="5" fillId="28" borderId="16" xfId="0" applyFont="1" applyFill="1" applyBorder="1" applyProtection="1">
      <protection hidden="1"/>
    </xf>
    <xf numFmtId="0" fontId="0" fillId="0" borderId="16" xfId="0" applyFill="1" applyBorder="1" applyProtection="1">
      <protection hidden="1"/>
    </xf>
    <xf numFmtId="0" fontId="0" fillId="0" borderId="17" xfId="0" applyFill="1" applyBorder="1" applyProtection="1">
      <protection hidden="1"/>
    </xf>
    <xf numFmtId="0" fontId="1" fillId="35" borderId="14" xfId="0" applyFont="1" applyFill="1" applyBorder="1" applyAlignment="1" applyProtection="1">
      <alignment horizontal="center"/>
      <protection hidden="1"/>
    </xf>
    <xf numFmtId="1" fontId="0" fillId="35" borderId="14" xfId="0" applyNumberFormat="1" applyFill="1" applyBorder="1" applyAlignment="1" applyProtection="1">
      <alignment horizontal="center"/>
      <protection hidden="1"/>
    </xf>
    <xf numFmtId="0" fontId="0" fillId="27" borderId="0" xfId="0" applyFill="1" applyBorder="1" applyProtection="1">
      <protection hidden="1"/>
    </xf>
    <xf numFmtId="0" fontId="1" fillId="27" borderId="0" xfId="0" applyFont="1" applyFill="1" applyBorder="1" applyProtection="1">
      <protection hidden="1"/>
    </xf>
    <xf numFmtId="0" fontId="0" fillId="0" borderId="0" xfId="0" applyFill="1" applyBorder="1" applyAlignment="1" applyProtection="1">
      <alignment vertical="top" wrapText="1"/>
      <protection hidden="1"/>
    </xf>
    <xf numFmtId="0" fontId="0" fillId="0" borderId="0" xfId="0" applyFill="1" applyBorder="1" applyAlignment="1" applyProtection="1">
      <protection hidden="1"/>
    </xf>
    <xf numFmtId="0" fontId="12" fillId="0" borderId="0" xfId="35" applyFont="1" applyBorder="1" applyAlignment="1" applyProtection="1">
      <protection hidden="1"/>
    </xf>
    <xf numFmtId="0" fontId="13" fillId="36" borderId="25" xfId="0" applyFont="1" applyFill="1" applyBorder="1" applyProtection="1">
      <protection locked="0" hidden="1"/>
    </xf>
    <xf numFmtId="0" fontId="13" fillId="36" borderId="25" xfId="0" applyFont="1" applyFill="1" applyBorder="1" applyAlignment="1" applyProtection="1">
      <alignment horizontal="center"/>
      <protection locked="0" hidden="1"/>
    </xf>
    <xf numFmtId="0" fontId="13" fillId="36" borderId="28" xfId="0" applyFont="1" applyFill="1" applyBorder="1" applyProtection="1">
      <protection locked="0" hidden="1"/>
    </xf>
    <xf numFmtId="0" fontId="13" fillId="36" borderId="28" xfId="0" applyFont="1" applyFill="1" applyBorder="1" applyAlignment="1" applyProtection="1">
      <alignment horizontal="center"/>
      <protection locked="0" hidden="1"/>
    </xf>
    <xf numFmtId="0" fontId="0" fillId="0" borderId="0" xfId="0" applyNumberFormat="1" applyBorder="1" applyProtection="1">
      <protection hidden="1"/>
    </xf>
    <xf numFmtId="0" fontId="0" fillId="0" borderId="0" xfId="0" applyNumberFormat="1" applyProtection="1">
      <protection hidden="1"/>
    </xf>
    <xf numFmtId="0" fontId="0" fillId="0" borderId="35" xfId="0" applyNumberFormat="1" applyBorder="1" applyProtection="1">
      <protection hidden="1"/>
    </xf>
    <xf numFmtId="0" fontId="18" fillId="0" borderId="0" xfId="0" applyNumberFormat="1" applyFont="1" applyBorder="1" applyProtection="1">
      <protection hidden="1"/>
    </xf>
    <xf numFmtId="0" fontId="4" fillId="0" borderId="0" xfId="0" applyNumberFormat="1" applyFont="1" applyFill="1" applyBorder="1" applyProtection="1">
      <protection hidden="1"/>
    </xf>
    <xf numFmtId="0" fontId="0" fillId="0" borderId="0" xfId="0" applyNumberFormat="1" applyFill="1" applyBorder="1" applyProtection="1">
      <protection hidden="1"/>
    </xf>
    <xf numFmtId="0" fontId="21" fillId="0" borderId="0" xfId="0" applyNumberFormat="1" applyFont="1" applyFill="1" applyBorder="1" applyAlignment="1" applyProtection="1">
      <protection hidden="1"/>
    </xf>
    <xf numFmtId="0" fontId="13" fillId="0" borderId="0" xfId="0" applyFont="1" applyFill="1" applyBorder="1" applyProtection="1">
      <protection hidden="1"/>
    </xf>
    <xf numFmtId="0" fontId="0" fillId="0" borderId="0" xfId="0" applyNumberFormat="1" applyBorder="1" applyAlignment="1" applyProtection="1">
      <alignment wrapText="1"/>
      <protection hidden="1"/>
    </xf>
    <xf numFmtId="0" fontId="11" fillId="0" borderId="55" xfId="0" applyNumberFormat="1" applyFont="1" applyBorder="1" applyAlignment="1" applyProtection="1">
      <alignment wrapText="1"/>
      <protection hidden="1"/>
    </xf>
    <xf numFmtId="0" fontId="11" fillId="0" borderId="56" xfId="0" applyNumberFormat="1" applyFont="1" applyBorder="1" applyAlignment="1" applyProtection="1">
      <alignment horizontal="center" wrapText="1"/>
      <protection hidden="1"/>
    </xf>
    <xf numFmtId="0" fontId="11" fillId="0" borderId="57" xfId="0" applyNumberFormat="1" applyFont="1" applyBorder="1" applyAlignment="1" applyProtection="1">
      <alignment horizontal="center" wrapText="1"/>
      <protection hidden="1"/>
    </xf>
    <xf numFmtId="0" fontId="11" fillId="0" borderId="0" xfId="0" applyNumberFormat="1" applyFont="1" applyFill="1" applyBorder="1" applyAlignment="1" applyProtection="1">
      <alignment horizontal="center" wrapText="1"/>
      <protection hidden="1"/>
    </xf>
    <xf numFmtId="0" fontId="0" fillId="0" borderId="0" xfId="0" applyNumberFormat="1" applyAlignment="1" applyProtection="1">
      <alignment wrapText="1"/>
      <protection hidden="1"/>
    </xf>
    <xf numFmtId="0" fontId="5" fillId="36" borderId="24" xfId="0" applyNumberFormat="1" applyFont="1" applyFill="1" applyBorder="1" applyProtection="1">
      <protection locked="0" hidden="1"/>
    </xf>
    <xf numFmtId="0" fontId="5" fillId="36" borderId="25" xfId="0" applyNumberFormat="1" applyFont="1" applyFill="1" applyBorder="1" applyProtection="1">
      <protection locked="0" hidden="1"/>
    </xf>
    <xf numFmtId="0" fontId="5" fillId="36" borderId="26" xfId="0" applyNumberFormat="1" applyFont="1" applyFill="1" applyBorder="1" applyProtection="1">
      <protection hidden="1"/>
    </xf>
    <xf numFmtId="0" fontId="10" fillId="0" borderId="0" xfId="0" applyNumberFormat="1" applyFont="1" applyFill="1" applyBorder="1" applyProtection="1">
      <protection hidden="1"/>
    </xf>
    <xf numFmtId="0" fontId="11" fillId="0" borderId="58" xfId="0" applyNumberFormat="1" applyFont="1" applyBorder="1" applyAlignment="1" applyProtection="1">
      <protection hidden="1"/>
    </xf>
    <xf numFmtId="0" fontId="0" fillId="0" borderId="40" xfId="0" applyNumberFormat="1" applyBorder="1" applyProtection="1">
      <protection hidden="1"/>
    </xf>
    <xf numFmtId="0" fontId="11" fillId="0" borderId="48" xfId="0" applyNumberFormat="1" applyFont="1" applyBorder="1" applyAlignment="1" applyProtection="1">
      <protection hidden="1"/>
    </xf>
    <xf numFmtId="0" fontId="0" fillId="0" borderId="53" xfId="0" applyBorder="1" applyProtection="1">
      <protection hidden="1"/>
    </xf>
    <xf numFmtId="0" fontId="0" fillId="0" borderId="12" xfId="0" applyNumberFormat="1" applyBorder="1" applyProtection="1">
      <protection hidden="1"/>
    </xf>
    <xf numFmtId="0" fontId="0" fillId="26" borderId="16" xfId="0" applyNumberFormat="1" applyFill="1" applyBorder="1" applyProtection="1">
      <protection hidden="1"/>
    </xf>
    <xf numFmtId="0" fontId="5" fillId="36" borderId="17" xfId="0" applyNumberFormat="1" applyFont="1" applyFill="1" applyBorder="1" applyProtection="1">
      <protection hidden="1"/>
    </xf>
    <xf numFmtId="0" fontId="0" fillId="0" borderId="14" xfId="0" applyBorder="1" applyAlignment="1" applyProtection="1">
      <alignment vertical="top" wrapText="1"/>
      <protection hidden="1"/>
    </xf>
    <xf numFmtId="0" fontId="0" fillId="0" borderId="15" xfId="0" applyBorder="1" applyAlignment="1" applyProtection="1">
      <alignment vertical="top" wrapText="1"/>
      <protection hidden="1"/>
    </xf>
    <xf numFmtId="0" fontId="0" fillId="0" borderId="11" xfId="0" applyBorder="1" applyAlignment="1" applyProtection="1">
      <alignment vertical="top" wrapText="1"/>
      <protection hidden="1"/>
    </xf>
    <xf numFmtId="0" fontId="0" fillId="0" borderId="0" xfId="0" applyAlignment="1" applyProtection="1">
      <alignment vertical="top" wrapText="1"/>
      <protection hidden="1"/>
    </xf>
    <xf numFmtId="0" fontId="0" fillId="0" borderId="10" xfId="0" applyBorder="1" applyAlignment="1" applyProtection="1">
      <alignment vertical="top" wrapText="1"/>
      <protection hidden="1"/>
    </xf>
    <xf numFmtId="0" fontId="0" fillId="0" borderId="0" xfId="0" applyNumberFormat="1" applyBorder="1" applyProtection="1">
      <protection locked="0" hidden="1"/>
    </xf>
    <xf numFmtId="0" fontId="0" fillId="0" borderId="12" xfId="0"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7" xfId="0" applyBorder="1" applyAlignment="1" applyProtection="1">
      <alignment vertical="top" wrapText="1"/>
      <protection hidden="1"/>
    </xf>
    <xf numFmtId="0" fontId="0" fillId="0" borderId="35" xfId="0" applyFill="1" applyBorder="1" applyProtection="1">
      <protection hidden="1"/>
    </xf>
    <xf numFmtId="0" fontId="5" fillId="0" borderId="0" xfId="0" applyFont="1" applyFill="1" applyBorder="1" applyProtection="1">
      <protection hidden="1"/>
    </xf>
    <xf numFmtId="0" fontId="0" fillId="0" borderId="0" xfId="0" applyFill="1" applyBorder="1" applyAlignment="1" applyProtection="1">
      <alignment horizontal="left" vertical="top"/>
      <protection hidden="1"/>
    </xf>
    <xf numFmtId="0" fontId="5" fillId="0" borderId="0" xfId="0" applyFont="1" applyFill="1" applyBorder="1" applyAlignment="1" applyProtection="1">
      <alignment horizontal="left" vertical="top"/>
      <protection hidden="1"/>
    </xf>
    <xf numFmtId="0" fontId="0" fillId="0" borderId="10" xfId="0" applyFill="1" applyBorder="1" applyAlignment="1" applyProtection="1">
      <alignment horizontal="left" vertical="top"/>
      <protection hidden="1"/>
    </xf>
    <xf numFmtId="10" fontId="0" fillId="0" borderId="0" xfId="42" applyNumberFormat="1" applyFont="1" applyBorder="1" applyProtection="1">
      <protection hidden="1"/>
    </xf>
    <xf numFmtId="174" fontId="0" fillId="0" borderId="0" xfId="0" applyNumberFormat="1" applyFill="1" applyBorder="1" applyAlignment="1" applyProtection="1">
      <alignment horizontal="center" wrapText="1"/>
      <protection hidden="1"/>
    </xf>
    <xf numFmtId="0" fontId="20" fillId="0" borderId="0" xfId="0" applyFont="1" applyFill="1" applyBorder="1" applyProtection="1">
      <protection hidden="1"/>
    </xf>
    <xf numFmtId="0" fontId="20" fillId="0" borderId="33" xfId="0" applyFont="1" applyBorder="1" applyProtection="1">
      <protection hidden="1"/>
    </xf>
    <xf numFmtId="0" fontId="20" fillId="0" borderId="34" xfId="0" applyFont="1" applyFill="1" applyBorder="1" applyProtection="1">
      <protection hidden="1"/>
    </xf>
    <xf numFmtId="10" fontId="20" fillId="0" borderId="34" xfId="42" applyNumberFormat="1" applyFont="1" applyFill="1" applyBorder="1" applyProtection="1">
      <protection hidden="1"/>
    </xf>
    <xf numFmtId="168" fontId="20" fillId="0" borderId="59" xfId="0" applyNumberFormat="1" applyFont="1" applyBorder="1" applyProtection="1">
      <protection hidden="1"/>
    </xf>
    <xf numFmtId="168" fontId="23" fillId="36" borderId="60" xfId="0" applyNumberFormat="1" applyFont="1" applyFill="1" applyBorder="1" applyProtection="1">
      <protection locked="0" hidden="1"/>
    </xf>
    <xf numFmtId="168" fontId="20" fillId="0" borderId="60" xfId="0" applyNumberFormat="1" applyFont="1" applyBorder="1" applyProtection="1">
      <protection hidden="1"/>
    </xf>
    <xf numFmtId="168" fontId="23" fillId="36" borderId="61" xfId="0" applyNumberFormat="1" applyFont="1" applyFill="1" applyBorder="1" applyProtection="1">
      <protection locked="0" hidden="1"/>
    </xf>
    <xf numFmtId="168" fontId="20" fillId="0" borderId="61" xfId="0" applyNumberFormat="1" applyFont="1" applyBorder="1" applyProtection="1">
      <protection hidden="1"/>
    </xf>
    <xf numFmtId="168" fontId="23" fillId="36" borderId="62" xfId="0" applyNumberFormat="1" applyFont="1" applyFill="1" applyBorder="1" applyProtection="1">
      <protection locked="0" hidden="1"/>
    </xf>
    <xf numFmtId="168" fontId="20" fillId="0" borderId="60" xfId="42" applyNumberFormat="1" applyFont="1" applyBorder="1" applyAlignment="1" applyProtection="1">
      <alignment horizontal="center"/>
      <protection hidden="1"/>
    </xf>
    <xf numFmtId="168" fontId="20" fillId="0" borderId="63" xfId="42" applyNumberFormat="1" applyFont="1" applyBorder="1" applyAlignment="1" applyProtection="1">
      <alignment horizontal="center"/>
      <protection hidden="1"/>
    </xf>
    <xf numFmtId="168" fontId="20" fillId="0" borderId="59" xfId="42" applyNumberFormat="1" applyFont="1" applyBorder="1" applyAlignment="1" applyProtection="1">
      <alignment horizontal="center"/>
      <protection hidden="1"/>
    </xf>
    <xf numFmtId="168" fontId="23" fillId="36" borderId="60" xfId="42" applyNumberFormat="1" applyFont="1" applyFill="1" applyBorder="1" applyAlignment="1" applyProtection="1">
      <alignment horizontal="center"/>
      <protection locked="0" hidden="1"/>
    </xf>
    <xf numFmtId="168" fontId="20" fillId="0" borderId="61" xfId="42" applyNumberFormat="1" applyFont="1" applyBorder="1" applyAlignment="1" applyProtection="1">
      <alignment horizontal="center"/>
      <protection hidden="1"/>
    </xf>
    <xf numFmtId="168" fontId="20" fillId="0" borderId="0" xfId="42" applyNumberFormat="1" applyFont="1" applyFill="1" applyBorder="1" applyAlignment="1" applyProtection="1">
      <alignment horizontal="center"/>
      <protection hidden="1"/>
    </xf>
    <xf numFmtId="0" fontId="20" fillId="0" borderId="0" xfId="0" applyFont="1" applyFill="1" applyProtection="1">
      <protection hidden="1"/>
    </xf>
    <xf numFmtId="10" fontId="0" fillId="0" borderId="0" xfId="42" applyNumberFormat="1" applyFont="1" applyFill="1" applyBorder="1" applyProtection="1">
      <protection hidden="1"/>
    </xf>
    <xf numFmtId="10" fontId="0" fillId="0" borderId="0" xfId="0" applyNumberFormat="1" applyFill="1" applyBorder="1" applyProtection="1">
      <protection hidden="1"/>
    </xf>
    <xf numFmtId="10" fontId="0" fillId="0" borderId="0" xfId="42" applyNumberFormat="1" applyFont="1" applyFill="1" applyBorder="1" applyAlignment="1" applyProtection="1">
      <alignment horizontal="center"/>
      <protection hidden="1"/>
    </xf>
    <xf numFmtId="168" fontId="5" fillId="0" borderId="0" xfId="0" applyNumberFormat="1" applyFont="1" applyBorder="1" applyProtection="1">
      <protection hidden="1"/>
    </xf>
    <xf numFmtId="0" fontId="0" fillId="0" borderId="0" xfId="0" applyFill="1" applyAlignment="1" applyProtection="1">
      <alignment wrapText="1"/>
      <protection hidden="1"/>
    </xf>
    <xf numFmtId="0" fontId="0" fillId="0" borderId="64" xfId="0" applyFill="1" applyBorder="1" applyAlignment="1" applyProtection="1">
      <alignment horizontal="center" wrapText="1"/>
      <protection hidden="1"/>
    </xf>
    <xf numFmtId="0" fontId="0" fillId="0" borderId="14" xfId="0" applyFill="1" applyBorder="1" applyAlignment="1" applyProtection="1">
      <alignment horizontal="center" wrapText="1"/>
      <protection hidden="1"/>
    </xf>
    <xf numFmtId="0" fontId="0" fillId="0" borderId="65" xfId="0" applyFill="1" applyBorder="1" applyAlignment="1" applyProtection="1">
      <alignment horizontal="center" wrapText="1"/>
      <protection hidden="1"/>
    </xf>
    <xf numFmtId="10" fontId="0" fillId="0" borderId="66" xfId="42" applyNumberFormat="1" applyFont="1" applyFill="1" applyBorder="1" applyAlignment="1" applyProtection="1">
      <alignment horizontal="center" wrapText="1"/>
      <protection hidden="1"/>
    </xf>
    <xf numFmtId="0" fontId="0" fillId="0" borderId="64" xfId="0" applyFill="1" applyBorder="1" applyAlignment="1" applyProtection="1">
      <alignment wrapText="1"/>
      <protection hidden="1"/>
    </xf>
    <xf numFmtId="0" fontId="0" fillId="0" borderId="65" xfId="0" applyFill="1" applyBorder="1" applyAlignment="1" applyProtection="1">
      <alignment wrapText="1"/>
      <protection hidden="1"/>
    </xf>
    <xf numFmtId="0" fontId="0" fillId="0" borderId="66" xfId="0" applyFill="1" applyBorder="1" applyAlignment="1" applyProtection="1">
      <alignment wrapText="1"/>
      <protection hidden="1"/>
    </xf>
    <xf numFmtId="0" fontId="0" fillId="0" borderId="0" xfId="0" applyFill="1" applyBorder="1" applyAlignment="1" applyProtection="1">
      <alignment wrapText="1"/>
      <protection hidden="1"/>
    </xf>
    <xf numFmtId="0" fontId="0" fillId="0" borderId="0" xfId="0" applyAlignment="1" applyProtection="1">
      <alignment wrapText="1"/>
      <protection hidden="1"/>
    </xf>
    <xf numFmtId="164" fontId="0" fillId="0" borderId="67" xfId="0" applyNumberFormat="1" applyBorder="1" applyAlignment="1" applyProtection="1">
      <alignment horizontal="center" wrapText="1"/>
      <protection hidden="1"/>
    </xf>
    <xf numFmtId="0" fontId="0" fillId="0" borderId="68" xfId="0" applyBorder="1" applyAlignment="1" applyProtection="1">
      <alignment horizontal="center" wrapText="1"/>
      <protection hidden="1"/>
    </xf>
    <xf numFmtId="0" fontId="0" fillId="0" borderId="69" xfId="0" applyBorder="1" applyAlignment="1" applyProtection="1">
      <alignment horizontal="center" wrapText="1"/>
      <protection hidden="1"/>
    </xf>
    <xf numFmtId="0" fontId="0" fillId="0" borderId="70" xfId="0" applyBorder="1" applyAlignment="1" applyProtection="1">
      <alignment horizontal="center" wrapText="1"/>
      <protection hidden="1"/>
    </xf>
    <xf numFmtId="0" fontId="0" fillId="0" borderId="67" xfId="0" applyBorder="1" applyAlignment="1" applyProtection="1">
      <alignment horizontal="center" wrapText="1"/>
      <protection hidden="1"/>
    </xf>
    <xf numFmtId="0" fontId="0" fillId="0" borderId="0" xfId="0" applyFill="1" applyBorder="1" applyAlignment="1" applyProtection="1">
      <alignment horizontal="center" wrapText="1"/>
      <protection hidden="1"/>
    </xf>
    <xf numFmtId="169" fontId="5" fillId="36" borderId="71" xfId="0" applyNumberFormat="1" applyFont="1" applyFill="1" applyBorder="1" applyProtection="1">
      <protection locked="0" hidden="1"/>
    </xf>
    <xf numFmtId="0" fontId="5" fillId="36" borderId="72" xfId="0" applyFont="1" applyFill="1" applyBorder="1" applyProtection="1">
      <protection locked="0" hidden="1"/>
    </xf>
    <xf numFmtId="0" fontId="5" fillId="36" borderId="72" xfId="0" applyFont="1" applyFill="1" applyBorder="1" applyAlignment="1" applyProtection="1">
      <alignment horizontal="center"/>
      <protection locked="0" hidden="1"/>
    </xf>
    <xf numFmtId="0" fontId="5" fillId="36" borderId="73" xfId="0" applyFont="1" applyFill="1" applyBorder="1" applyProtection="1">
      <protection locked="0" hidden="1"/>
    </xf>
    <xf numFmtId="169" fontId="0" fillId="0" borderId="71" xfId="0" applyNumberFormat="1" applyBorder="1" applyProtection="1">
      <protection hidden="1"/>
    </xf>
    <xf numFmtId="169" fontId="0" fillId="0" borderId="72" xfId="0" applyNumberFormat="1" applyBorder="1" applyProtection="1">
      <protection hidden="1"/>
    </xf>
    <xf numFmtId="169" fontId="0" fillId="0" borderId="73" xfId="0" applyNumberFormat="1" applyBorder="1" applyProtection="1">
      <protection hidden="1"/>
    </xf>
    <xf numFmtId="169" fontId="5" fillId="36" borderId="74" xfId="0" applyNumberFormat="1" applyFont="1" applyFill="1" applyBorder="1" applyProtection="1">
      <protection locked="0" hidden="1"/>
    </xf>
    <xf numFmtId="0" fontId="5" fillId="36" borderId="16" xfId="0" applyFont="1" applyFill="1" applyBorder="1" applyProtection="1">
      <protection locked="0" hidden="1"/>
    </xf>
    <xf numFmtId="0" fontId="5" fillId="36" borderId="75" xfId="0" applyFont="1" applyFill="1" applyBorder="1" applyAlignment="1" applyProtection="1">
      <alignment horizontal="center"/>
      <protection locked="0" hidden="1"/>
    </xf>
    <xf numFmtId="0" fontId="5" fillId="36" borderId="76" xfId="0" applyFont="1" applyFill="1" applyBorder="1" applyProtection="1">
      <protection locked="0" hidden="1"/>
    </xf>
    <xf numFmtId="169" fontId="0" fillId="0" borderId="74" xfId="0" applyNumberFormat="1" applyBorder="1" applyProtection="1">
      <protection hidden="1"/>
    </xf>
    <xf numFmtId="169" fontId="0" fillId="0" borderId="75" xfId="0" applyNumberFormat="1" applyBorder="1" applyProtection="1">
      <protection hidden="1"/>
    </xf>
    <xf numFmtId="169" fontId="0" fillId="0" borderId="76" xfId="0" applyNumberFormat="1" applyBorder="1" applyProtection="1">
      <protection hidden="1"/>
    </xf>
    <xf numFmtId="169" fontId="1" fillId="0" borderId="0" xfId="0" applyNumberFormat="1" applyFont="1" applyFill="1" applyBorder="1" applyProtection="1">
      <protection hidden="1"/>
    </xf>
    <xf numFmtId="0" fontId="1" fillId="0" borderId="0" xfId="0" applyFont="1" applyFill="1" applyBorder="1" applyAlignment="1" applyProtection="1">
      <alignment horizontal="center"/>
      <protection hidden="1"/>
    </xf>
    <xf numFmtId="10" fontId="1" fillId="0" borderId="0" xfId="42" applyNumberFormat="1" applyFont="1" applyBorder="1" applyProtection="1">
      <protection hidden="1"/>
    </xf>
    <xf numFmtId="174" fontId="1" fillId="0" borderId="0" xfId="42" applyNumberFormat="1" applyFont="1" applyBorder="1" applyAlignment="1" applyProtection="1">
      <alignment horizontal="center"/>
      <protection hidden="1"/>
    </xf>
    <xf numFmtId="174" fontId="1" fillId="0" borderId="0" xfId="42" applyNumberFormat="1" applyFont="1" applyFill="1" applyBorder="1" applyAlignment="1" applyProtection="1">
      <alignment horizontal="center"/>
      <protection hidden="1"/>
    </xf>
    <xf numFmtId="0" fontId="5" fillId="0" borderId="0" xfId="0" applyNumberFormat="1" applyFont="1" applyBorder="1" applyProtection="1">
      <protection hidden="1"/>
    </xf>
    <xf numFmtId="0" fontId="5" fillId="0" borderId="0" xfId="42" applyNumberFormat="1" applyFont="1" applyBorder="1" applyProtection="1">
      <protection hidden="1"/>
    </xf>
    <xf numFmtId="0" fontId="5" fillId="0" borderId="0" xfId="42" applyNumberFormat="1" applyFont="1" applyBorder="1" applyAlignment="1" applyProtection="1">
      <alignment horizontal="center"/>
      <protection hidden="1"/>
    </xf>
    <xf numFmtId="0" fontId="5" fillId="0" borderId="0" xfId="42" applyNumberFormat="1" applyFont="1" applyFill="1" applyBorder="1" applyAlignment="1" applyProtection="1">
      <alignment horizontal="center"/>
      <protection hidden="1"/>
    </xf>
    <xf numFmtId="165" fontId="1" fillId="0" borderId="0" xfId="42" applyNumberFormat="1" applyFont="1" applyBorder="1" applyAlignment="1" applyProtection="1">
      <alignment horizontal="center"/>
      <protection hidden="1"/>
    </xf>
    <xf numFmtId="165" fontId="1" fillId="0" borderId="0" xfId="42" applyNumberFormat="1" applyFont="1" applyFill="1" applyBorder="1" applyAlignment="1" applyProtection="1">
      <alignment horizontal="left"/>
      <protection hidden="1"/>
    </xf>
    <xf numFmtId="165" fontId="1" fillId="0" borderId="0" xfId="0" applyNumberFormat="1" applyFont="1" applyBorder="1" applyProtection="1">
      <protection hidden="1"/>
    </xf>
    <xf numFmtId="10" fontId="5" fillId="0" borderId="0" xfId="42" applyNumberFormat="1" applyFont="1" applyBorder="1" applyProtection="1">
      <protection hidden="1"/>
    </xf>
    <xf numFmtId="174" fontId="5" fillId="0" borderId="0" xfId="42" applyNumberFormat="1" applyFont="1" applyBorder="1" applyAlignment="1" applyProtection="1">
      <alignment horizontal="center"/>
      <protection hidden="1"/>
    </xf>
    <xf numFmtId="174" fontId="5" fillId="0" borderId="0" xfId="42" applyNumberFormat="1" applyFont="1" applyFill="1" applyBorder="1" applyAlignment="1" applyProtection="1">
      <alignment horizontal="center"/>
      <protection hidden="1"/>
    </xf>
    <xf numFmtId="10" fontId="5" fillId="0" borderId="0" xfId="42" applyNumberFormat="1" applyFont="1" applyFill="1" applyBorder="1" applyProtection="1">
      <protection hidden="1"/>
    </xf>
    <xf numFmtId="0" fontId="0" fillId="0" borderId="0" xfId="0" applyAlignment="1" applyProtection="1">
      <protection hidden="1"/>
    </xf>
    <xf numFmtId="0" fontId="6" fillId="0" borderId="0" xfId="35" applyBorder="1" applyAlignment="1" applyProtection="1">
      <protection hidden="1"/>
    </xf>
    <xf numFmtId="0" fontId="5" fillId="0" borderId="0" xfId="0" applyFont="1" applyFill="1" applyProtection="1">
      <protection hidden="1"/>
    </xf>
    <xf numFmtId="0" fontId="5" fillId="0" borderId="35" xfId="0" applyFont="1" applyFill="1" applyBorder="1" applyProtection="1">
      <protection hidden="1"/>
    </xf>
    <xf numFmtId="0" fontId="18" fillId="0" borderId="0" xfId="0" applyFont="1" applyFill="1" applyProtection="1">
      <protection hidden="1"/>
    </xf>
    <xf numFmtId="0" fontId="5" fillId="29" borderId="0" xfId="0" applyFont="1" applyFill="1" applyAlignment="1" applyProtection="1">
      <alignment horizontal="center"/>
      <protection hidden="1"/>
    </xf>
    <xf numFmtId="0" fontId="13" fillId="0" borderId="0" xfId="0" applyFont="1" applyFill="1" applyProtection="1">
      <protection hidden="1"/>
    </xf>
    <xf numFmtId="170" fontId="5" fillId="0" borderId="0" xfId="0" applyNumberFormat="1" applyFont="1" applyFill="1" applyBorder="1" applyAlignment="1" applyProtection="1">
      <alignment horizontal="center"/>
      <protection hidden="1"/>
    </xf>
    <xf numFmtId="0" fontId="5" fillId="0" borderId="0" xfId="0" applyFont="1" applyFill="1" applyAlignment="1" applyProtection="1">
      <alignment horizontal="center"/>
      <protection hidden="1"/>
    </xf>
    <xf numFmtId="0" fontId="5" fillId="0" borderId="0" xfId="0" applyFont="1" applyFill="1" applyBorder="1" applyAlignment="1" applyProtection="1">
      <alignment horizontal="center"/>
      <protection hidden="1"/>
    </xf>
    <xf numFmtId="0" fontId="0" fillId="0" borderId="7" xfId="0" applyBorder="1" applyAlignment="1" applyProtection="1">
      <protection hidden="1"/>
    </xf>
    <xf numFmtId="9" fontId="5" fillId="36" borderId="77" xfId="0" applyNumberFormat="1" applyFont="1" applyFill="1" applyBorder="1" applyProtection="1">
      <protection locked="0" hidden="1"/>
    </xf>
    <xf numFmtId="0" fontId="0" fillId="0" borderId="39" xfId="0" applyBorder="1" applyAlignment="1" applyProtection="1">
      <protection hidden="1"/>
    </xf>
    <xf numFmtId="0" fontId="0" fillId="0" borderId="38" xfId="0" applyBorder="1" applyProtection="1">
      <protection hidden="1"/>
    </xf>
    <xf numFmtId="9" fontId="5" fillId="0" borderId="0" xfId="0" applyNumberFormat="1" applyFont="1" applyFill="1" applyBorder="1" applyAlignment="1" applyProtection="1">
      <protection locked="0" hidden="1"/>
    </xf>
    <xf numFmtId="0" fontId="0" fillId="0" borderId="38" xfId="0" applyBorder="1" applyAlignment="1" applyProtection="1">
      <protection hidden="1"/>
    </xf>
    <xf numFmtId="0" fontId="0" fillId="0" borderId="0" xfId="0" quotePrefix="1" applyFill="1" applyBorder="1" applyProtection="1">
      <protection hidden="1"/>
    </xf>
    <xf numFmtId="9" fontId="5" fillId="0" borderId="0" xfId="0" applyNumberFormat="1" applyFont="1" applyFill="1" applyBorder="1" applyProtection="1">
      <protection locked="0" hidden="1"/>
    </xf>
    <xf numFmtId="0" fontId="5" fillId="36" borderId="77" xfId="0" applyNumberFormat="1" applyFont="1" applyFill="1" applyBorder="1" applyProtection="1">
      <protection locked="0" hidden="1"/>
    </xf>
    <xf numFmtId="0" fontId="0" fillId="0" borderId="0" xfId="0" applyBorder="1" applyAlignment="1" applyProtection="1">
      <protection hidden="1"/>
    </xf>
    <xf numFmtId="9" fontId="0" fillId="0" borderId="0" xfId="0" applyNumberFormat="1" applyProtection="1">
      <protection hidden="1"/>
    </xf>
    <xf numFmtId="1" fontId="5" fillId="0" borderId="0" xfId="0" applyNumberFormat="1" applyFont="1" applyFill="1" applyBorder="1" applyProtection="1">
      <protection locked="0" hidden="1"/>
    </xf>
    <xf numFmtId="1" fontId="5" fillId="0" borderId="0" xfId="0" applyNumberFormat="1" applyFont="1" applyFill="1" applyBorder="1" applyProtection="1">
      <protection hidden="1"/>
    </xf>
    <xf numFmtId="1" fontId="0" fillId="0" borderId="0" xfId="0" applyNumberFormat="1" applyFill="1" applyProtection="1">
      <protection hidden="1"/>
    </xf>
    <xf numFmtId="0" fontId="12" fillId="0" borderId="0" xfId="35" applyFont="1" applyFill="1" applyBorder="1" applyAlignment="1" applyProtection="1">
      <protection hidden="1"/>
    </xf>
    <xf numFmtId="0" fontId="6" fillId="0" borderId="0" xfId="35" applyFill="1" applyBorder="1" applyAlignment="1" applyProtection="1">
      <protection hidden="1"/>
    </xf>
    <xf numFmtId="0" fontId="0" fillId="0" borderId="0" xfId="0" applyBorder="1" applyAlignment="1" applyProtection="1">
      <alignment vertical="top" wrapText="1"/>
      <protection hidden="1"/>
    </xf>
    <xf numFmtId="0" fontId="0" fillId="0" borderId="13" xfId="0" applyBorder="1" applyAlignment="1" applyProtection="1">
      <alignment vertical="top" wrapText="1"/>
      <protection hidden="1"/>
    </xf>
    <xf numFmtId="0" fontId="0" fillId="31" borderId="13" xfId="0" applyFill="1" applyBorder="1" applyAlignment="1" applyProtection="1">
      <alignment horizontal="center" vertical="center"/>
      <protection hidden="1"/>
    </xf>
    <xf numFmtId="0" fontId="0" fillId="31" borderId="14" xfId="0" applyFill="1" applyBorder="1" applyAlignment="1" applyProtection="1">
      <alignment horizontal="center" vertical="center"/>
      <protection hidden="1"/>
    </xf>
    <xf numFmtId="0" fontId="0" fillId="31" borderId="15" xfId="0" applyFill="1" applyBorder="1" applyAlignment="1" applyProtection="1">
      <alignment horizontal="center" vertical="center"/>
      <protection hidden="1"/>
    </xf>
    <xf numFmtId="0" fontId="0" fillId="31" borderId="11" xfId="0" applyFill="1" applyBorder="1" applyAlignment="1" applyProtection="1">
      <alignment horizontal="center" vertical="center"/>
      <protection hidden="1"/>
    </xf>
    <xf numFmtId="0" fontId="0" fillId="31" borderId="0" xfId="0" applyFill="1" applyBorder="1" applyAlignment="1" applyProtection="1">
      <alignment horizontal="center" vertical="center"/>
      <protection hidden="1"/>
    </xf>
    <xf numFmtId="0" fontId="0" fillId="35" borderId="0" xfId="0" applyFill="1" applyBorder="1" applyAlignment="1" applyProtection="1">
      <alignment horizontal="center" vertical="center"/>
      <protection hidden="1"/>
    </xf>
    <xf numFmtId="0" fontId="0" fillId="31" borderId="10" xfId="0" applyFill="1" applyBorder="1" applyAlignment="1" applyProtection="1">
      <alignment horizontal="center" vertical="center"/>
      <protection hidden="1"/>
    </xf>
    <xf numFmtId="0" fontId="0" fillId="31" borderId="12" xfId="0" applyFill="1" applyBorder="1" applyAlignment="1" applyProtection="1">
      <alignment horizontal="center" vertical="center"/>
      <protection hidden="1"/>
    </xf>
    <xf numFmtId="0" fontId="0" fillId="31" borderId="16" xfId="0" applyFill="1" applyBorder="1" applyAlignment="1" applyProtection="1">
      <alignment horizontal="center" vertical="center"/>
      <protection hidden="1"/>
    </xf>
    <xf numFmtId="0" fontId="0" fillId="31" borderId="17" xfId="0" applyFill="1" applyBorder="1" applyAlignment="1" applyProtection="1">
      <alignment horizontal="center" vertical="center"/>
      <protection hidden="1"/>
    </xf>
    <xf numFmtId="0" fontId="0" fillId="0" borderId="0" xfId="0" applyBorder="1" applyAlignment="1" applyProtection="1">
      <alignment horizontal="center" vertical="top" wrapText="1"/>
      <protection hidden="1"/>
    </xf>
    <xf numFmtId="0" fontId="0" fillId="32" borderId="36" xfId="0" applyFill="1" applyBorder="1" applyAlignment="1" applyProtection="1">
      <alignment vertical="top" wrapText="1"/>
      <protection hidden="1"/>
    </xf>
    <xf numFmtId="0" fontId="0" fillId="37" borderId="15" xfId="0" applyFill="1" applyBorder="1" applyAlignment="1" applyProtection="1">
      <alignment vertical="top" wrapText="1"/>
      <protection hidden="1"/>
    </xf>
    <xf numFmtId="0" fontId="0" fillId="32" borderId="36" xfId="0" applyFill="1" applyBorder="1" applyAlignment="1" applyProtection="1">
      <alignment horizontal="center" vertical="top" wrapText="1"/>
      <protection hidden="1"/>
    </xf>
    <xf numFmtId="0" fontId="0" fillId="37" borderId="36" xfId="0" applyFill="1" applyBorder="1" applyAlignment="1" applyProtection="1">
      <alignment vertical="top" wrapText="1"/>
      <protection hidden="1"/>
    </xf>
    <xf numFmtId="0" fontId="0" fillId="32" borderId="78" xfId="0" applyFill="1" applyBorder="1" applyAlignment="1" applyProtection="1">
      <alignment vertical="top" wrapText="1"/>
      <protection hidden="1"/>
    </xf>
    <xf numFmtId="0" fontId="0" fillId="37" borderId="10" xfId="0" applyFill="1" applyBorder="1" applyAlignment="1" applyProtection="1">
      <alignment vertical="top" wrapText="1"/>
      <protection hidden="1"/>
    </xf>
    <xf numFmtId="0" fontId="0" fillId="35" borderId="78" xfId="0" applyFill="1" applyBorder="1" applyAlignment="1" applyProtection="1">
      <alignment horizontal="center" vertical="top" wrapText="1"/>
      <protection hidden="1"/>
    </xf>
    <xf numFmtId="0" fontId="0" fillId="37" borderId="78" xfId="0" applyFill="1" applyBorder="1" applyAlignment="1" applyProtection="1">
      <alignment vertical="top" wrapText="1"/>
      <protection hidden="1"/>
    </xf>
    <xf numFmtId="0" fontId="0" fillId="32" borderId="79" xfId="0" applyFill="1" applyBorder="1" applyAlignment="1" applyProtection="1">
      <alignment vertical="top" wrapText="1"/>
      <protection hidden="1"/>
    </xf>
    <xf numFmtId="0" fontId="0" fillId="37" borderId="17" xfId="0" applyFill="1" applyBorder="1" applyAlignment="1" applyProtection="1">
      <alignment vertical="top" wrapText="1"/>
      <protection hidden="1"/>
    </xf>
    <xf numFmtId="0" fontId="0" fillId="32" borderId="79" xfId="0" applyFill="1" applyBorder="1" applyAlignment="1" applyProtection="1">
      <alignment horizontal="center" vertical="top" wrapText="1"/>
      <protection hidden="1"/>
    </xf>
    <xf numFmtId="0" fontId="0" fillId="37" borderId="79" xfId="0" applyFill="1" applyBorder="1" applyAlignment="1" applyProtection="1">
      <alignment vertical="top" wrapText="1"/>
      <protection hidden="1"/>
    </xf>
    <xf numFmtId="0" fontId="0" fillId="0" borderId="11" xfId="0" applyFill="1" applyBorder="1" applyAlignment="1" applyProtection="1">
      <alignment vertical="top" wrapText="1"/>
      <protection hidden="1"/>
    </xf>
    <xf numFmtId="0" fontId="0" fillId="0" borderId="0" xfId="0" applyFill="1" applyBorder="1" applyAlignment="1" applyProtection="1">
      <alignment horizontal="center" vertical="center" textRotation="90" wrapText="1"/>
      <protection hidden="1"/>
    </xf>
    <xf numFmtId="0" fontId="0" fillId="0" borderId="0" xfId="0" applyFill="1" applyBorder="1" applyAlignment="1" applyProtection="1">
      <alignment horizontal="center" vertical="top" wrapText="1"/>
      <protection hidden="1"/>
    </xf>
    <xf numFmtId="0" fontId="0" fillId="0" borderId="10" xfId="0" applyFill="1" applyBorder="1" applyAlignment="1" applyProtection="1">
      <alignment vertical="top" wrapText="1"/>
      <protection hidden="1"/>
    </xf>
    <xf numFmtId="0" fontId="5" fillId="34" borderId="14" xfId="0" applyFont="1" applyFill="1" applyBorder="1" applyAlignment="1" applyProtection="1">
      <alignment vertical="top" wrapText="1"/>
      <protection hidden="1"/>
    </xf>
    <xf numFmtId="0" fontId="5" fillId="34" borderId="14" xfId="0" applyFont="1" applyFill="1" applyBorder="1" applyAlignment="1" applyProtection="1">
      <alignment horizontal="center" vertical="top" wrapText="1"/>
      <protection hidden="1"/>
    </xf>
    <xf numFmtId="0" fontId="5" fillId="34" borderId="15" xfId="0" applyFont="1" applyFill="1" applyBorder="1" applyAlignment="1" applyProtection="1">
      <alignment vertical="top" wrapText="1"/>
      <protection hidden="1"/>
    </xf>
    <xf numFmtId="0" fontId="5" fillId="34" borderId="0" xfId="0" applyFont="1" applyFill="1" applyBorder="1" applyAlignment="1" applyProtection="1">
      <alignment vertical="top" wrapText="1"/>
      <protection hidden="1"/>
    </xf>
    <xf numFmtId="0" fontId="1" fillId="35" borderId="0" xfId="0" applyFont="1" applyFill="1" applyBorder="1" applyAlignment="1" applyProtection="1">
      <alignment horizontal="center" vertical="center" wrapText="1"/>
      <protection hidden="1"/>
    </xf>
    <xf numFmtId="0" fontId="5" fillId="34" borderId="10" xfId="0" applyFont="1" applyFill="1" applyBorder="1" applyAlignment="1" applyProtection="1">
      <alignment vertical="top" wrapText="1"/>
      <protection hidden="1"/>
    </xf>
    <xf numFmtId="0" fontId="5" fillId="34" borderId="16" xfId="0" applyFont="1" applyFill="1" applyBorder="1" applyAlignment="1" applyProtection="1">
      <alignment vertical="top" wrapText="1"/>
      <protection hidden="1"/>
    </xf>
    <xf numFmtId="0" fontId="5" fillId="34" borderId="17" xfId="0" applyFont="1" applyFill="1" applyBorder="1" applyAlignment="1" applyProtection="1">
      <alignment vertical="top" wrapText="1"/>
      <protection hidden="1"/>
    </xf>
    <xf numFmtId="0" fontId="0" fillId="31" borderId="14" xfId="0" applyFill="1" applyBorder="1" applyAlignment="1" applyProtection="1">
      <alignment vertical="top" wrapText="1"/>
      <protection hidden="1"/>
    </xf>
    <xf numFmtId="0" fontId="0" fillId="35" borderId="14" xfId="0" applyFill="1" applyBorder="1" applyAlignment="1" applyProtection="1">
      <alignment horizontal="center" vertical="top" wrapText="1"/>
      <protection hidden="1"/>
    </xf>
    <xf numFmtId="0" fontId="0" fillId="31" borderId="0" xfId="0" applyFill="1" applyBorder="1" applyAlignment="1" applyProtection="1">
      <alignment vertical="top" wrapText="1"/>
      <protection hidden="1"/>
    </xf>
    <xf numFmtId="0" fontId="0" fillId="31" borderId="16" xfId="0" applyFill="1" applyBorder="1" applyAlignment="1" applyProtection="1">
      <alignment vertical="top" wrapText="1"/>
      <protection hidden="1"/>
    </xf>
    <xf numFmtId="1" fontId="9" fillId="36" borderId="80" xfId="0" applyNumberFormat="1" applyFont="1" applyFill="1" applyBorder="1" applyProtection="1">
      <protection locked="0" hidden="1"/>
    </xf>
    <xf numFmtId="175" fontId="5" fillId="29" borderId="81" xfId="0" applyNumberFormat="1" applyFont="1" applyFill="1" applyBorder="1" applyAlignment="1" applyProtection="1">
      <alignment horizontal="center"/>
      <protection locked="0" hidden="1"/>
    </xf>
    <xf numFmtId="175" fontId="5" fillId="29" borderId="82" xfId="0" applyNumberFormat="1" applyFont="1" applyFill="1" applyBorder="1" applyAlignment="1" applyProtection="1">
      <alignment horizontal="center"/>
      <protection locked="0" hidden="1"/>
    </xf>
    <xf numFmtId="9" fontId="5" fillId="36" borderId="83" xfId="0" applyNumberFormat="1" applyFont="1" applyFill="1" applyBorder="1" applyProtection="1">
      <protection locked="0" hidden="1"/>
    </xf>
    <xf numFmtId="0" fontId="5" fillId="36" borderId="83" xfId="0" applyNumberFormat="1" applyFont="1" applyFill="1" applyBorder="1" applyProtection="1">
      <protection locked="0" hidden="1"/>
    </xf>
    <xf numFmtId="1" fontId="0" fillId="32" borderId="16" xfId="0" applyNumberFormat="1" applyFill="1" applyBorder="1" applyProtection="1">
      <protection locked="0" hidden="1"/>
    </xf>
    <xf numFmtId="0" fontId="18" fillId="0" borderId="0" xfId="0" applyFont="1" applyProtection="1">
      <protection hidden="1"/>
    </xf>
    <xf numFmtId="0" fontId="5" fillId="0" borderId="0" xfId="0" applyFont="1" applyFill="1" applyAlignment="1" applyProtection="1">
      <alignment horizontal="center" vertical="top" wrapText="1"/>
      <protection hidden="1"/>
    </xf>
    <xf numFmtId="0" fontId="5" fillId="0" borderId="0" xfId="0" applyFont="1" applyAlignment="1" applyProtection="1">
      <alignment horizontal="center" vertical="top" wrapText="1"/>
      <protection hidden="1"/>
    </xf>
    <xf numFmtId="0" fontId="0" fillId="0" borderId="84" xfId="0" applyBorder="1" applyAlignment="1" applyProtection="1">
      <alignment horizontal="right"/>
      <protection hidden="1"/>
    </xf>
    <xf numFmtId="0" fontId="0" fillId="0" borderId="85" xfId="0" applyBorder="1" applyAlignment="1" applyProtection="1">
      <alignment horizontal="center"/>
      <protection hidden="1"/>
    </xf>
    <xf numFmtId="0" fontId="0" fillId="0" borderId="86" xfId="0" applyBorder="1" applyAlignment="1" applyProtection="1">
      <alignment horizontal="center"/>
      <protection hidden="1"/>
    </xf>
    <xf numFmtId="164" fontId="0" fillId="0" borderId="87" xfId="0" applyNumberFormat="1" applyBorder="1" applyProtection="1">
      <protection hidden="1"/>
    </xf>
    <xf numFmtId="0" fontId="0" fillId="0" borderId="88" xfId="0" applyBorder="1" applyProtection="1">
      <protection hidden="1"/>
    </xf>
    <xf numFmtId="2" fontId="0" fillId="0" borderId="89" xfId="0" applyNumberFormat="1" applyBorder="1" applyProtection="1">
      <protection hidden="1"/>
    </xf>
    <xf numFmtId="164" fontId="0" fillId="0" borderId="90" xfId="0" applyNumberFormat="1" applyBorder="1" applyProtection="1">
      <protection hidden="1"/>
    </xf>
    <xf numFmtId="0" fontId="0" fillId="0" borderId="91" xfId="0" applyBorder="1" applyProtection="1">
      <protection hidden="1"/>
    </xf>
    <xf numFmtId="2" fontId="0" fillId="0" borderId="92" xfId="0" applyNumberFormat="1" applyBorder="1" applyProtection="1">
      <protection hidden="1"/>
    </xf>
    <xf numFmtId="164" fontId="0" fillId="0" borderId="0" xfId="0" applyNumberFormat="1" applyProtection="1">
      <protection hidden="1"/>
    </xf>
    <xf numFmtId="2" fontId="0" fillId="0" borderId="0" xfId="0" applyNumberFormat="1" applyProtection="1">
      <protection hidden="1"/>
    </xf>
    <xf numFmtId="0" fontId="5" fillId="36" borderId="14" xfId="0" applyFont="1" applyFill="1" applyBorder="1" applyProtection="1">
      <protection hidden="1"/>
    </xf>
    <xf numFmtId="0" fontId="23" fillId="36" borderId="14" xfId="0" applyFont="1" applyFill="1" applyBorder="1" applyAlignment="1" applyProtection="1">
      <alignment vertical="center"/>
      <protection hidden="1"/>
    </xf>
    <xf numFmtId="0" fontId="5" fillId="36" borderId="15" xfId="0" applyFont="1" applyFill="1" applyBorder="1" applyProtection="1">
      <protection hidden="1"/>
    </xf>
    <xf numFmtId="0" fontId="5" fillId="36" borderId="16" xfId="0" applyFont="1" applyFill="1" applyBorder="1" applyProtection="1">
      <protection hidden="1"/>
    </xf>
    <xf numFmtId="0" fontId="23" fillId="36" borderId="16" xfId="0" applyFont="1" applyFill="1" applyBorder="1" applyAlignment="1" applyProtection="1">
      <alignment vertical="center"/>
      <protection hidden="1"/>
    </xf>
    <xf numFmtId="0" fontId="5" fillId="36" borderId="17" xfId="0" applyFont="1" applyFill="1" applyBorder="1" applyProtection="1">
      <protection hidden="1"/>
    </xf>
    <xf numFmtId="0" fontId="1" fillId="0" borderId="35" xfId="0" applyFont="1" applyBorder="1" applyProtection="1">
      <protection hidden="1"/>
    </xf>
    <xf numFmtId="0" fontId="1" fillId="0" borderId="35" xfId="0" applyFont="1" applyFill="1" applyBorder="1" applyProtection="1">
      <protection hidden="1"/>
    </xf>
    <xf numFmtId="0" fontId="5" fillId="36" borderId="93" xfId="0" applyFont="1" applyFill="1" applyBorder="1" applyProtection="1">
      <protection locked="0" hidden="1"/>
    </xf>
    <xf numFmtId="0" fontId="5" fillId="36" borderId="33" xfId="0" applyFont="1" applyFill="1" applyBorder="1" applyProtection="1">
      <protection locked="0" hidden="1"/>
    </xf>
    <xf numFmtId="0" fontId="5" fillId="36" borderId="34" xfId="0" applyFont="1" applyFill="1" applyBorder="1" applyProtection="1">
      <protection locked="0" hidden="1"/>
    </xf>
    <xf numFmtId="0" fontId="5" fillId="36" borderId="37" xfId="0" applyFont="1" applyFill="1" applyBorder="1" applyProtection="1">
      <protection locked="0" hidden="1"/>
    </xf>
    <xf numFmtId="0" fontId="12" fillId="0" borderId="0" xfId="35" applyNumberFormat="1" applyFont="1" applyAlignment="1" applyProtection="1">
      <protection hidden="1"/>
    </xf>
    <xf numFmtId="0" fontId="18" fillId="0" borderId="0" xfId="0" applyFont="1" applyFill="1" applyBorder="1" applyProtection="1">
      <protection hidden="1"/>
    </xf>
    <xf numFmtId="0" fontId="0" fillId="0" borderId="94" xfId="0" applyFill="1" applyBorder="1" applyProtection="1">
      <protection hidden="1"/>
    </xf>
    <xf numFmtId="0" fontId="0" fillId="0" borderId="95" xfId="0" applyFill="1" applyBorder="1" applyProtection="1">
      <protection hidden="1"/>
    </xf>
    <xf numFmtId="0" fontId="5" fillId="36" borderId="96" xfId="0" applyFont="1" applyFill="1" applyBorder="1" applyAlignment="1" applyProtection="1">
      <alignment horizontal="right"/>
      <protection locked="0" hidden="1"/>
    </xf>
    <xf numFmtId="0" fontId="0" fillId="0" borderId="97" xfId="0" applyFill="1" applyBorder="1" applyProtection="1">
      <protection hidden="1"/>
    </xf>
    <xf numFmtId="0" fontId="0" fillId="0" borderId="98" xfId="0" applyFill="1" applyBorder="1" applyProtection="1">
      <protection hidden="1"/>
    </xf>
    <xf numFmtId="0" fontId="5" fillId="36" borderId="99" xfId="0" applyFont="1" applyFill="1" applyBorder="1" applyProtection="1">
      <protection locked="0" hidden="1"/>
    </xf>
    <xf numFmtId="0" fontId="10" fillId="0" borderId="0" xfId="0" applyFont="1" applyFill="1" applyBorder="1" applyProtection="1">
      <protection hidden="1"/>
    </xf>
    <xf numFmtId="0" fontId="11" fillId="0" borderId="93" xfId="0" applyFont="1" applyFill="1" applyBorder="1" applyProtection="1">
      <protection hidden="1"/>
    </xf>
    <xf numFmtId="0" fontId="11" fillId="0" borderId="100" xfId="0" applyFont="1" applyFill="1" applyBorder="1" applyProtection="1">
      <protection hidden="1"/>
    </xf>
    <xf numFmtId="0" fontId="11" fillId="0" borderId="80" xfId="0" applyFont="1" applyFill="1" applyBorder="1" applyProtection="1">
      <protection hidden="1"/>
    </xf>
    <xf numFmtId="0" fontId="11" fillId="0" borderId="101" xfId="0" applyFont="1" applyFill="1" applyBorder="1" applyProtection="1">
      <protection hidden="1"/>
    </xf>
    <xf numFmtId="0" fontId="10" fillId="0" borderId="102" xfId="0" applyFont="1" applyFill="1" applyBorder="1" applyProtection="1">
      <protection hidden="1"/>
    </xf>
    <xf numFmtId="0" fontId="10" fillId="0" borderId="32" xfId="0" applyFont="1" applyFill="1" applyBorder="1" applyProtection="1">
      <protection hidden="1"/>
    </xf>
    <xf numFmtId="0" fontId="10" fillId="0" borderId="51" xfId="0" applyFont="1" applyFill="1" applyBorder="1" applyProtection="1">
      <protection hidden="1"/>
    </xf>
    <xf numFmtId="0" fontId="11" fillId="0" borderId="47" xfId="0" applyFont="1" applyFill="1" applyBorder="1" applyProtection="1">
      <protection hidden="1"/>
    </xf>
    <xf numFmtId="0" fontId="10" fillId="0" borderId="40" xfId="0" applyFont="1" applyFill="1" applyBorder="1" applyProtection="1">
      <protection hidden="1"/>
    </xf>
    <xf numFmtId="0" fontId="10" fillId="0" borderId="7" xfId="0" applyFont="1" applyFill="1" applyBorder="1" applyProtection="1">
      <protection hidden="1"/>
    </xf>
    <xf numFmtId="0" fontId="10" fillId="0" borderId="52" xfId="0" applyFont="1" applyFill="1" applyBorder="1" applyProtection="1">
      <protection hidden="1"/>
    </xf>
    <xf numFmtId="0" fontId="11" fillId="0" borderId="50" xfId="0" applyFont="1" applyFill="1" applyBorder="1" applyProtection="1">
      <protection hidden="1"/>
    </xf>
    <xf numFmtId="0" fontId="10" fillId="0" borderId="103" xfId="0" applyFont="1" applyFill="1" applyBorder="1" applyProtection="1">
      <protection hidden="1"/>
    </xf>
    <xf numFmtId="0" fontId="10" fillId="0" borderId="53" xfId="0" applyFont="1" applyFill="1" applyBorder="1" applyProtection="1">
      <protection hidden="1"/>
    </xf>
    <xf numFmtId="0" fontId="10" fillId="0" borderId="54" xfId="0" applyFont="1" applyFill="1" applyBorder="1" applyProtection="1">
      <protection hidden="1"/>
    </xf>
    <xf numFmtId="0" fontId="0" fillId="0" borderId="58" xfId="0" applyFill="1" applyBorder="1" applyProtection="1">
      <protection hidden="1"/>
    </xf>
    <xf numFmtId="0" fontId="0" fillId="0" borderId="38" xfId="0" applyFill="1" applyBorder="1" applyProtection="1">
      <protection hidden="1"/>
    </xf>
    <xf numFmtId="0" fontId="5" fillId="36" borderId="104" xfId="0" applyFont="1" applyFill="1" applyBorder="1" applyProtection="1">
      <protection locked="0" hidden="1"/>
    </xf>
    <xf numFmtId="0" fontId="5" fillId="36" borderId="104" xfId="0" applyFont="1" applyFill="1" applyBorder="1" applyAlignment="1" applyProtection="1">
      <alignment horizontal="right"/>
      <protection locked="0" hidden="1"/>
    </xf>
    <xf numFmtId="0" fontId="11" fillId="0" borderId="42" xfId="0" applyFont="1" applyFill="1" applyBorder="1" applyProtection="1">
      <protection hidden="1"/>
    </xf>
    <xf numFmtId="0" fontId="11" fillId="0" borderId="105" xfId="0" applyFont="1" applyFill="1" applyBorder="1" applyProtection="1">
      <protection hidden="1"/>
    </xf>
    <xf numFmtId="0" fontId="11" fillId="0" borderId="43" xfId="0" applyFont="1" applyFill="1" applyBorder="1" applyProtection="1">
      <protection hidden="1"/>
    </xf>
    <xf numFmtId="0" fontId="11" fillId="0" borderId="94" xfId="0" applyFont="1" applyFill="1" applyBorder="1" applyProtection="1">
      <protection hidden="1"/>
    </xf>
    <xf numFmtId="0" fontId="11" fillId="0" borderId="58" xfId="0" applyFont="1" applyFill="1" applyBorder="1" applyProtection="1">
      <protection hidden="1"/>
    </xf>
    <xf numFmtId="0" fontId="11" fillId="0" borderId="97" xfId="0" applyFont="1" applyFill="1" applyBorder="1" applyProtection="1">
      <protection hidden="1"/>
    </xf>
    <xf numFmtId="165" fontId="0" fillId="0" borderId="0" xfId="0" applyNumberFormat="1" applyFill="1" applyBorder="1" applyProtection="1">
      <protection hidden="1"/>
    </xf>
    <xf numFmtId="0" fontId="11" fillId="0" borderId="13" xfId="0" applyFont="1" applyBorder="1" applyAlignment="1" applyProtection="1">
      <alignment horizontal="right"/>
      <protection hidden="1"/>
    </xf>
    <xf numFmtId="0" fontId="11" fillId="0" borderId="14" xfId="0" applyFont="1" applyBorder="1" applyAlignment="1" applyProtection="1">
      <alignment horizontal="right"/>
      <protection hidden="1"/>
    </xf>
    <xf numFmtId="0" fontId="11" fillId="0" borderId="15" xfId="0" applyFont="1" applyBorder="1" applyAlignment="1" applyProtection="1">
      <alignment horizontal="right"/>
      <protection hidden="1"/>
    </xf>
    <xf numFmtId="0" fontId="0" fillId="0" borderId="58" xfId="0" applyBorder="1" applyProtection="1">
      <protection hidden="1"/>
    </xf>
    <xf numFmtId="172" fontId="0" fillId="0" borderId="0" xfId="0" applyNumberFormat="1" applyFill="1" applyBorder="1" applyAlignment="1" applyProtection="1">
      <alignment horizontal="center"/>
      <protection hidden="1"/>
    </xf>
    <xf numFmtId="0" fontId="0" fillId="0" borderId="97" xfId="0" applyBorder="1" applyProtection="1">
      <protection hidden="1"/>
    </xf>
    <xf numFmtId="0" fontId="0" fillId="0" borderId="98" xfId="0" applyBorder="1" applyProtection="1">
      <protection hidden="1"/>
    </xf>
    <xf numFmtId="172" fontId="0" fillId="0" borderId="0" xfId="0" applyNumberFormat="1" applyBorder="1" applyAlignment="1" applyProtection="1">
      <alignment horizontal="center"/>
      <protection hidden="1"/>
    </xf>
    <xf numFmtId="0" fontId="4" fillId="0" borderId="0" xfId="0" applyFont="1" applyAlignment="1" applyProtection="1">
      <alignment horizontal="center"/>
      <protection hidden="1"/>
    </xf>
    <xf numFmtId="0" fontId="0" fillId="0" borderId="33" xfId="0" applyFill="1" applyBorder="1" applyProtection="1">
      <protection hidden="1"/>
    </xf>
    <xf numFmtId="0" fontId="0" fillId="0" borderId="34" xfId="0" applyFill="1" applyBorder="1" applyProtection="1">
      <protection hidden="1"/>
    </xf>
    <xf numFmtId="0" fontId="5" fillId="30" borderId="33" xfId="0" applyFont="1" applyFill="1" applyBorder="1" applyProtection="1">
      <protection hidden="1"/>
    </xf>
    <xf numFmtId="0" fontId="5" fillId="30" borderId="34" xfId="0" applyFont="1" applyFill="1" applyBorder="1" applyProtection="1">
      <protection hidden="1"/>
    </xf>
    <xf numFmtId="0" fontId="5" fillId="30" borderId="37" xfId="0" applyFont="1" applyFill="1" applyBorder="1" applyProtection="1">
      <protection hidden="1"/>
    </xf>
    <xf numFmtId="168" fontId="0" fillId="0" borderId="0" xfId="0" applyNumberFormat="1" applyFill="1" applyBorder="1" applyAlignment="1" applyProtection="1">
      <alignment horizontal="center"/>
      <protection hidden="1"/>
    </xf>
    <xf numFmtId="168" fontId="0" fillId="0" borderId="0" xfId="0" applyNumberFormat="1" applyFill="1" applyBorder="1" applyAlignment="1" applyProtection="1">
      <alignment horizontal="right"/>
      <protection hidden="1"/>
    </xf>
    <xf numFmtId="10" fontId="0" fillId="0" borderId="0" xfId="0" applyNumberFormat="1" applyBorder="1" applyProtection="1">
      <protection hidden="1"/>
    </xf>
    <xf numFmtId="0" fontId="1" fillId="0" borderId="33" xfId="0" applyFont="1" applyFill="1" applyBorder="1" applyAlignment="1" applyProtection="1">
      <alignment horizontal="left" vertical="top"/>
      <protection hidden="1"/>
    </xf>
    <xf numFmtId="0" fontId="1" fillId="0" borderId="34" xfId="0" applyFont="1" applyFill="1" applyBorder="1" applyAlignment="1" applyProtection="1">
      <alignment horizontal="left" vertical="top"/>
      <protection hidden="1"/>
    </xf>
    <xf numFmtId="0" fontId="5" fillId="28" borderId="0" xfId="0" applyFont="1" applyFill="1" applyProtection="1">
      <protection hidden="1"/>
    </xf>
    <xf numFmtId="0" fontId="5" fillId="36" borderId="58" xfId="0" applyFont="1" applyFill="1" applyBorder="1" applyProtection="1">
      <protection locked="0" hidden="1"/>
    </xf>
    <xf numFmtId="0" fontId="5" fillId="36" borderId="34" xfId="0" applyFont="1" applyFill="1" applyBorder="1" applyProtection="1">
      <protection hidden="1"/>
    </xf>
    <xf numFmtId="0" fontId="5" fillId="36" borderId="37" xfId="0" applyNumberFormat="1" applyFont="1" applyFill="1" applyBorder="1" applyAlignment="1" applyProtection="1">
      <alignment horizontal="center"/>
      <protection locked="0" hidden="1"/>
    </xf>
    <xf numFmtId="2" fontId="0" fillId="0" borderId="0" xfId="0" applyNumberFormat="1" applyFill="1" applyAlignment="1" applyProtection="1">
      <alignment horizontal="center"/>
      <protection hidden="1"/>
    </xf>
    <xf numFmtId="0" fontId="0" fillId="0" borderId="0" xfId="0" applyFill="1" applyAlignment="1" applyProtection="1">
      <alignment horizontal="center"/>
      <protection hidden="1"/>
    </xf>
    <xf numFmtId="164" fontId="0" fillId="0" borderId="87" xfId="0" applyNumberFormat="1" applyFill="1" applyBorder="1" applyProtection="1">
      <protection hidden="1"/>
    </xf>
    <xf numFmtId="2" fontId="0" fillId="0" borderId="88" xfId="0" applyNumberFormat="1" applyFill="1" applyBorder="1" applyProtection="1">
      <protection hidden="1"/>
    </xf>
    <xf numFmtId="2" fontId="0" fillId="0" borderId="89" xfId="0" applyNumberFormat="1" applyFill="1" applyBorder="1" applyProtection="1">
      <protection hidden="1"/>
    </xf>
    <xf numFmtId="2" fontId="0" fillId="0" borderId="0" xfId="0" applyNumberFormat="1" applyFill="1" applyProtection="1">
      <protection hidden="1"/>
    </xf>
    <xf numFmtId="164" fontId="0" fillId="0" borderId="90" xfId="0" applyNumberFormat="1" applyFill="1" applyBorder="1" applyProtection="1">
      <protection hidden="1"/>
    </xf>
    <xf numFmtId="2" fontId="0" fillId="0" borderId="91" xfId="0" applyNumberFormat="1" applyFill="1" applyBorder="1" applyProtection="1">
      <protection hidden="1"/>
    </xf>
    <xf numFmtId="2" fontId="0" fillId="0" borderId="92" xfId="0" applyNumberFormat="1" applyFill="1" applyBorder="1" applyProtection="1">
      <protection hidden="1"/>
    </xf>
    <xf numFmtId="0" fontId="0" fillId="0" borderId="34" xfId="0" applyFill="1" applyBorder="1" applyAlignment="1" applyProtection="1">
      <alignment horizontal="center"/>
      <protection hidden="1"/>
    </xf>
    <xf numFmtId="0" fontId="0" fillId="0" borderId="106" xfId="0" applyBorder="1" applyAlignment="1" applyProtection="1">
      <alignment horizontal="right"/>
      <protection hidden="1"/>
    </xf>
    <xf numFmtId="0" fontId="0" fillId="0" borderId="107" xfId="0" applyBorder="1" applyAlignment="1" applyProtection="1">
      <alignment horizontal="center"/>
      <protection hidden="1"/>
    </xf>
    <xf numFmtId="0" fontId="0" fillId="0" borderId="108" xfId="0" applyBorder="1" applyAlignment="1" applyProtection="1">
      <alignment horizontal="center"/>
      <protection hidden="1"/>
    </xf>
    <xf numFmtId="164" fontId="0" fillId="0" borderId="44" xfId="0" applyNumberFormat="1" applyBorder="1" applyProtection="1">
      <protection hidden="1"/>
    </xf>
    <xf numFmtId="2" fontId="0" fillId="0" borderId="7" xfId="0" applyNumberFormat="1" applyBorder="1" applyAlignment="1" applyProtection="1">
      <alignment horizontal="center"/>
      <protection hidden="1"/>
    </xf>
    <xf numFmtId="2" fontId="0" fillId="0" borderId="52" xfId="0" applyNumberFormat="1" applyBorder="1" applyProtection="1">
      <protection hidden="1"/>
    </xf>
    <xf numFmtId="164" fontId="0" fillId="0" borderId="48" xfId="0" applyNumberFormat="1" applyBorder="1" applyProtection="1">
      <protection hidden="1"/>
    </xf>
    <xf numFmtId="2" fontId="0" fillId="0" borderId="53" xfId="0" applyNumberFormat="1" applyBorder="1" applyAlignment="1" applyProtection="1">
      <alignment horizontal="center"/>
      <protection hidden="1"/>
    </xf>
    <xf numFmtId="2" fontId="0" fillId="0" borderId="54" xfId="0" applyNumberFormat="1" applyBorder="1" applyProtection="1">
      <protection hidden="1"/>
    </xf>
    <xf numFmtId="0" fontId="5" fillId="36" borderId="33" xfId="0" applyFont="1" applyFill="1" applyBorder="1" applyProtection="1">
      <protection hidden="1"/>
    </xf>
    <xf numFmtId="0" fontId="5" fillId="36" borderId="34" xfId="0" applyFont="1" applyFill="1" applyBorder="1" applyAlignment="1" applyProtection="1">
      <alignment horizontal="center" vertical="center"/>
      <protection hidden="1"/>
    </xf>
    <xf numFmtId="0" fontId="5" fillId="36" borderId="37" xfId="0" applyFont="1" applyFill="1" applyBorder="1" applyProtection="1">
      <protection hidden="1"/>
    </xf>
    <xf numFmtId="0" fontId="5" fillId="0" borderId="0" xfId="0" applyFont="1" applyAlignment="1" applyProtection="1">
      <alignment horizontal="center"/>
      <protection locked="0" hidden="1"/>
    </xf>
    <xf numFmtId="0" fontId="0" fillId="0" borderId="108" xfId="0" applyBorder="1" applyProtection="1">
      <protection hidden="1"/>
    </xf>
    <xf numFmtId="0" fontId="5" fillId="36" borderId="7" xfId="0" applyFont="1" applyFill="1" applyBorder="1" applyAlignment="1" applyProtection="1">
      <alignment horizontal="center"/>
      <protection locked="0" hidden="1"/>
    </xf>
    <xf numFmtId="0" fontId="0" fillId="0" borderId="52" xfId="0" applyBorder="1" applyProtection="1">
      <protection hidden="1"/>
    </xf>
    <xf numFmtId="0" fontId="5" fillId="36" borderId="53" xfId="0" applyFont="1" applyFill="1" applyBorder="1" applyAlignment="1" applyProtection="1">
      <alignment horizontal="center"/>
      <protection locked="0" hidden="1"/>
    </xf>
    <xf numFmtId="0" fontId="0" fillId="0" borderId="54" xfId="0" applyBorder="1" applyProtection="1">
      <protection hidden="1"/>
    </xf>
    <xf numFmtId="0" fontId="0" fillId="0" borderId="7" xfId="0" applyBorder="1" applyAlignment="1" applyProtection="1">
      <alignment horizontal="center"/>
      <protection hidden="1"/>
    </xf>
    <xf numFmtId="0" fontId="0" fillId="0" borderId="53" xfId="0" applyBorder="1" applyAlignment="1" applyProtection="1">
      <alignment horizontal="center"/>
      <protection hidden="1"/>
    </xf>
    <xf numFmtId="0" fontId="5" fillId="36" borderId="34" xfId="0" applyFont="1" applyFill="1" applyBorder="1" applyAlignment="1" applyProtection="1">
      <alignment horizontal="center"/>
      <protection hidden="1"/>
    </xf>
    <xf numFmtId="0" fontId="5" fillId="0" borderId="0" xfId="0" applyFont="1" applyProtection="1">
      <protection locked="0" hidden="1"/>
    </xf>
    <xf numFmtId="164" fontId="0" fillId="0" borderId="44" xfId="0" applyNumberFormat="1" applyFill="1" applyBorder="1" applyProtection="1">
      <protection hidden="1"/>
    </xf>
    <xf numFmtId="0" fontId="0" fillId="0" borderId="7" xfId="0" applyFill="1" applyBorder="1" applyAlignment="1" applyProtection="1">
      <alignment horizontal="center"/>
      <protection hidden="1"/>
    </xf>
    <xf numFmtId="2" fontId="0" fillId="0" borderId="52" xfId="0" applyNumberFormat="1" applyFill="1" applyBorder="1" applyProtection="1">
      <protection hidden="1"/>
    </xf>
    <xf numFmtId="164" fontId="0" fillId="0" borderId="48" xfId="0" applyNumberFormat="1" applyFill="1" applyBorder="1" applyProtection="1">
      <protection hidden="1"/>
    </xf>
    <xf numFmtId="0" fontId="0" fillId="0" borderId="53" xfId="0" applyFill="1" applyBorder="1" applyAlignment="1" applyProtection="1">
      <alignment horizontal="center"/>
      <protection hidden="1"/>
    </xf>
    <xf numFmtId="2" fontId="0" fillId="0" borderId="54" xfId="0" applyNumberFormat="1" applyFill="1" applyBorder="1" applyProtection="1">
      <protection hidden="1"/>
    </xf>
    <xf numFmtId="164" fontId="0" fillId="0" borderId="35" xfId="0" applyNumberFormat="1" applyBorder="1" applyProtection="1">
      <protection hidden="1"/>
    </xf>
    <xf numFmtId="176" fontId="0" fillId="0" borderId="0" xfId="0" applyNumberFormat="1" applyProtection="1">
      <protection hidden="1"/>
    </xf>
    <xf numFmtId="164" fontId="5" fillId="36" borderId="96" xfId="0" applyNumberFormat="1" applyFont="1" applyFill="1" applyBorder="1" applyProtection="1">
      <protection locked="0" hidden="1"/>
    </xf>
    <xf numFmtId="0" fontId="5" fillId="0" borderId="0" xfId="0" applyNumberFormat="1" applyFont="1" applyProtection="1">
      <protection hidden="1"/>
    </xf>
    <xf numFmtId="165" fontId="0" fillId="0" borderId="0" xfId="0" applyNumberFormat="1" applyProtection="1">
      <protection hidden="1"/>
    </xf>
    <xf numFmtId="164" fontId="5" fillId="36" borderId="99" xfId="0" applyNumberFormat="1" applyFont="1" applyFill="1" applyBorder="1" applyProtection="1">
      <protection locked="0" hidden="1"/>
    </xf>
    <xf numFmtId="0" fontId="0" fillId="0" borderId="7" xfId="0" applyBorder="1" applyAlignment="1" applyProtection="1">
      <alignment horizontal="right"/>
      <protection hidden="1"/>
    </xf>
    <xf numFmtId="0" fontId="0" fillId="0" borderId="7" xfId="0" applyBorder="1" applyProtection="1">
      <protection hidden="1"/>
    </xf>
    <xf numFmtId="0" fontId="0" fillId="0" borderId="0" xfId="0" applyAlignment="1" applyProtection="1">
      <alignment horizontal="right"/>
      <protection hidden="1"/>
    </xf>
    <xf numFmtId="0" fontId="0" fillId="0" borderId="95" xfId="0" applyBorder="1" applyAlignment="1" applyProtection="1">
      <alignment horizontal="right" wrapText="1"/>
      <protection hidden="1"/>
    </xf>
    <xf numFmtId="0" fontId="0" fillId="0" borderId="96" xfId="0" applyBorder="1" applyAlignment="1" applyProtection="1">
      <alignment horizontal="right" wrapText="1"/>
      <protection hidden="1"/>
    </xf>
    <xf numFmtId="0" fontId="0" fillId="0" borderId="0" xfId="0" applyAlignment="1" applyProtection="1">
      <alignment horizontal="center" wrapText="1"/>
      <protection hidden="1"/>
    </xf>
    <xf numFmtId="0" fontId="0" fillId="0" borderId="15" xfId="0" applyBorder="1" applyAlignment="1" applyProtection="1">
      <alignment horizontal="right" wrapText="1"/>
      <protection hidden="1"/>
    </xf>
    <xf numFmtId="0" fontId="0" fillId="0" borderId="33" xfId="0" applyFill="1" applyBorder="1" applyAlignment="1" applyProtection="1">
      <alignment vertical="center"/>
      <protection hidden="1"/>
    </xf>
    <xf numFmtId="0" fontId="5" fillId="36" borderId="37" xfId="0" applyFont="1" applyFill="1" applyBorder="1" applyAlignment="1" applyProtection="1">
      <alignment horizontal="left" vertical="center"/>
      <protection locked="0" hidden="1"/>
    </xf>
    <xf numFmtId="0" fontId="5" fillId="36" borderId="33" xfId="0" applyFont="1" applyFill="1" applyBorder="1" applyAlignment="1" applyProtection="1">
      <alignment vertical="center"/>
      <protection hidden="1"/>
    </xf>
    <xf numFmtId="2" fontId="0" fillId="0" borderId="104" xfId="0" applyNumberFormat="1" applyBorder="1" applyProtection="1">
      <protection hidden="1"/>
    </xf>
    <xf numFmtId="2" fontId="5" fillId="0" borderId="0" xfId="0" applyNumberFormat="1" applyFont="1" applyProtection="1">
      <protection hidden="1"/>
    </xf>
    <xf numFmtId="0" fontId="5" fillId="0" borderId="14" xfId="0" applyFont="1" applyFill="1" applyBorder="1" applyProtection="1">
      <protection locked="0" hidden="1"/>
    </xf>
    <xf numFmtId="2" fontId="0" fillId="0" borderId="99" xfId="0" applyNumberFormat="1" applyBorder="1" applyProtection="1">
      <protection hidden="1"/>
    </xf>
    <xf numFmtId="0" fontId="0" fillId="0" borderId="0" xfId="0" applyFill="1" applyAlignment="1" applyProtection="1">
      <alignment vertical="center"/>
      <protection hidden="1"/>
    </xf>
    <xf numFmtId="0" fontId="0" fillId="0" borderId="109" xfId="0" applyBorder="1" applyAlignment="1" applyProtection="1">
      <alignment horizontal="right"/>
      <protection hidden="1"/>
    </xf>
    <xf numFmtId="16" fontId="0" fillId="0" borderId="87" xfId="0" applyNumberFormat="1" applyBorder="1" applyProtection="1">
      <protection hidden="1"/>
    </xf>
    <xf numFmtId="16" fontId="0" fillId="0" borderId="110" xfId="0" applyNumberFormat="1" applyBorder="1" applyProtection="1">
      <protection hidden="1"/>
    </xf>
    <xf numFmtId="0" fontId="5" fillId="25" borderId="0" xfId="0" applyFont="1" applyFill="1" applyProtection="1">
      <protection hidden="1"/>
    </xf>
    <xf numFmtId="165" fontId="1" fillId="0" borderId="0" xfId="0" applyNumberFormat="1" applyFont="1" applyProtection="1">
      <protection hidden="1"/>
    </xf>
    <xf numFmtId="165" fontId="1" fillId="25" borderId="0" xfId="0" applyNumberFormat="1" applyFont="1" applyFill="1" applyProtection="1">
      <protection hidden="1"/>
    </xf>
    <xf numFmtId="16" fontId="0" fillId="0" borderId="90" xfId="0" applyNumberFormat="1" applyBorder="1" applyProtection="1">
      <protection hidden="1"/>
    </xf>
    <xf numFmtId="16" fontId="0" fillId="0" borderId="111" xfId="0" applyNumberFormat="1" applyBorder="1" applyProtection="1">
      <protection hidden="1"/>
    </xf>
    <xf numFmtId="164" fontId="0" fillId="0" borderId="0" xfId="0" applyNumberFormat="1" applyBorder="1" applyProtection="1">
      <protection hidden="1"/>
    </xf>
    <xf numFmtId="2" fontId="0" fillId="0" borderId="0" xfId="0" applyNumberFormat="1" applyBorder="1" applyProtection="1">
      <protection hidden="1"/>
    </xf>
    <xf numFmtId="0" fontId="5" fillId="36" borderId="34" xfId="0" applyFont="1" applyFill="1" applyBorder="1" applyAlignment="1" applyProtection="1">
      <alignment vertical="center"/>
      <protection hidden="1"/>
    </xf>
    <xf numFmtId="0" fontId="0" fillId="36" borderId="33" xfId="0" applyFill="1" applyBorder="1" applyProtection="1">
      <protection hidden="1"/>
    </xf>
    <xf numFmtId="0" fontId="0" fillId="36" borderId="34" xfId="0" applyFill="1" applyBorder="1" applyProtection="1">
      <protection hidden="1"/>
    </xf>
    <xf numFmtId="0" fontId="5" fillId="36" borderId="37" xfId="0" applyNumberFormat="1" applyFont="1" applyFill="1" applyBorder="1" applyProtection="1">
      <protection locked="0" hidden="1"/>
    </xf>
    <xf numFmtId="0" fontId="0" fillId="0" borderId="0" xfId="0" quotePrefix="1" applyProtection="1">
      <protection hidden="1"/>
    </xf>
    <xf numFmtId="0" fontId="1" fillId="25" borderId="0" xfId="0" applyNumberFormat="1" applyFont="1" applyFill="1" applyProtection="1">
      <protection hidden="1"/>
    </xf>
    <xf numFmtId="0" fontId="0" fillId="25" borderId="0" xfId="0" applyFill="1" applyProtection="1">
      <protection hidden="1"/>
    </xf>
    <xf numFmtId="0" fontId="0" fillId="25" borderId="13" xfId="0" applyFill="1" applyBorder="1" applyAlignment="1" applyProtection="1">
      <alignment horizontal="center" vertical="center" textRotation="90" wrapText="1"/>
      <protection hidden="1"/>
    </xf>
    <xf numFmtId="167" fontId="0" fillId="25" borderId="42" xfId="0" applyNumberFormat="1" applyFill="1" applyBorder="1" applyAlignment="1" applyProtection="1">
      <alignment horizontal="center"/>
      <protection hidden="1"/>
    </xf>
    <xf numFmtId="167" fontId="0" fillId="25" borderId="105" xfId="0" applyNumberFormat="1" applyFill="1" applyBorder="1" applyAlignment="1" applyProtection="1">
      <alignment horizontal="center"/>
      <protection hidden="1"/>
    </xf>
    <xf numFmtId="167" fontId="0" fillId="25" borderId="14" xfId="0" applyNumberFormat="1" applyFill="1" applyBorder="1" applyAlignment="1" applyProtection="1">
      <alignment horizontal="center"/>
      <protection hidden="1"/>
    </xf>
    <xf numFmtId="167" fontId="0" fillId="25" borderId="43" xfId="0" applyNumberFormat="1" applyFill="1" applyBorder="1" applyAlignment="1" applyProtection="1">
      <alignment horizontal="center"/>
      <protection hidden="1"/>
    </xf>
    <xf numFmtId="0" fontId="0" fillId="0" borderId="106" xfId="0" applyFill="1" applyBorder="1" applyProtection="1">
      <protection hidden="1"/>
    </xf>
    <xf numFmtId="0" fontId="0" fillId="0" borderId="107" xfId="0" applyFill="1" applyBorder="1" applyProtection="1">
      <protection hidden="1"/>
    </xf>
    <xf numFmtId="0" fontId="0" fillId="0" borderId="108" xfId="0" applyFill="1" applyBorder="1" applyProtection="1">
      <protection hidden="1"/>
    </xf>
    <xf numFmtId="0" fontId="0" fillId="0" borderId="44" xfId="0" applyFill="1" applyBorder="1" applyProtection="1">
      <protection hidden="1"/>
    </xf>
    <xf numFmtId="0" fontId="0" fillId="0" borderId="7" xfId="0" applyFill="1" applyBorder="1" applyProtection="1">
      <protection hidden="1"/>
    </xf>
    <xf numFmtId="0" fontId="0" fillId="0" borderId="52" xfId="0" applyFill="1" applyBorder="1" applyProtection="1">
      <protection hidden="1"/>
    </xf>
    <xf numFmtId="0" fontId="0" fillId="0" borderId="48" xfId="0" applyFill="1" applyBorder="1" applyProtection="1">
      <protection hidden="1"/>
    </xf>
    <xf numFmtId="0" fontId="0" fillId="0" borderId="53" xfId="0" applyFill="1" applyBorder="1" applyProtection="1">
      <protection hidden="1"/>
    </xf>
    <xf numFmtId="0" fontId="0" fillId="0" borderId="54" xfId="0" applyFill="1" applyBorder="1" applyProtection="1">
      <protection hidden="1"/>
    </xf>
    <xf numFmtId="0" fontId="1" fillId="0" borderId="0" xfId="0" applyNumberFormat="1" applyFont="1" applyProtection="1">
      <protection hidden="1"/>
    </xf>
    <xf numFmtId="0" fontId="0" fillId="25" borderId="11" xfId="0" applyFill="1" applyBorder="1" applyAlignment="1" applyProtection="1">
      <alignment horizontal="center" vertical="center" wrapText="1"/>
      <protection hidden="1"/>
    </xf>
    <xf numFmtId="16" fontId="0" fillId="0" borderId="112" xfId="0" applyNumberFormat="1" applyBorder="1" applyProtection="1">
      <protection hidden="1"/>
    </xf>
    <xf numFmtId="16" fontId="0" fillId="0" borderId="113" xfId="0" applyNumberFormat="1" applyBorder="1" applyProtection="1">
      <protection hidden="1"/>
    </xf>
    <xf numFmtId="16" fontId="0" fillId="0" borderId="10" xfId="0" applyNumberFormat="1" applyBorder="1" applyProtection="1">
      <protection hidden="1"/>
    </xf>
    <xf numFmtId="0" fontId="0" fillId="25" borderId="12" xfId="0" applyFill="1" applyBorder="1" applyAlignment="1" applyProtection="1">
      <alignment horizontal="center" vertical="center" wrapText="1"/>
      <protection hidden="1"/>
    </xf>
    <xf numFmtId="16" fontId="0" fillId="0" borderId="114" xfId="0" applyNumberFormat="1" applyBorder="1" applyAlignment="1" applyProtection="1">
      <alignment horizontal="right"/>
      <protection hidden="1"/>
    </xf>
    <xf numFmtId="16" fontId="0" fillId="0" borderId="115" xfId="0" applyNumberFormat="1" applyBorder="1" applyAlignment="1" applyProtection="1">
      <alignment horizontal="right"/>
      <protection hidden="1"/>
    </xf>
    <xf numFmtId="16" fontId="0" fillId="0" borderId="17" xfId="0" applyNumberFormat="1" applyBorder="1" applyAlignment="1" applyProtection="1">
      <alignment horizontal="right"/>
      <protection hidden="1"/>
    </xf>
    <xf numFmtId="0" fontId="26" fillId="0" borderId="0" xfId="0" applyFont="1" applyFill="1" applyBorder="1" applyProtection="1">
      <protection hidden="1"/>
    </xf>
    <xf numFmtId="0" fontId="26" fillId="0" borderId="0" xfId="0" applyFont="1" applyFill="1" applyBorder="1" applyAlignment="1" applyProtection="1">
      <protection hidden="1"/>
    </xf>
    <xf numFmtId="0" fontId="10" fillId="0" borderId="0" xfId="0" applyFont="1" applyFill="1" applyBorder="1" applyAlignment="1" applyProtection="1">
      <alignment horizontal="left"/>
      <protection hidden="1"/>
    </xf>
    <xf numFmtId="49" fontId="0" fillId="0" borderId="0" xfId="0" applyNumberFormat="1" applyFill="1" applyBorder="1" applyAlignment="1" applyProtection="1">
      <alignment horizontal="center"/>
      <protection hidden="1"/>
    </xf>
    <xf numFmtId="49" fontId="0" fillId="0" borderId="35" xfId="0" applyNumberFormat="1" applyFill="1" applyBorder="1" applyAlignment="1" applyProtection="1">
      <alignment horizontal="center"/>
      <protection hidden="1"/>
    </xf>
    <xf numFmtId="49" fontId="0" fillId="0" borderId="0" xfId="0" applyNumberFormat="1" applyFill="1" applyBorder="1" applyAlignment="1" applyProtection="1">
      <alignment horizontal="center" vertical="top"/>
      <protection hidden="1"/>
    </xf>
    <xf numFmtId="49" fontId="0" fillId="0" borderId="0" xfId="0" applyNumberFormat="1" applyFill="1" applyBorder="1" applyAlignment="1" applyProtection="1">
      <alignment horizontal="center" vertical="top" wrapText="1"/>
      <protection hidden="1"/>
    </xf>
    <xf numFmtId="3" fontId="0" fillId="0" borderId="0" xfId="0" applyNumberFormat="1" applyFill="1" applyBorder="1" applyProtection="1">
      <protection hidden="1"/>
    </xf>
    <xf numFmtId="0" fontId="1" fillId="0" borderId="116" xfId="0" applyFont="1" applyFill="1" applyBorder="1"/>
    <xf numFmtId="0" fontId="0" fillId="0" borderId="36" xfId="0" applyFill="1" applyBorder="1" applyAlignment="1">
      <alignment textRotation="90"/>
    </xf>
    <xf numFmtId="0" fontId="0" fillId="0" borderId="7" xfId="0" applyNumberFormat="1" applyFill="1" applyBorder="1" applyAlignment="1">
      <alignment horizontal="center"/>
    </xf>
    <xf numFmtId="0" fontId="0" fillId="0" borderId="13" xfId="0" applyBorder="1"/>
    <xf numFmtId="0" fontId="0" fillId="0" borderId="14" xfId="0" applyFill="1" applyBorder="1"/>
    <xf numFmtId="0" fontId="0" fillId="0" borderId="52" xfId="0" applyNumberFormat="1" applyFill="1" applyBorder="1" applyAlignment="1">
      <alignment horizontal="center"/>
    </xf>
    <xf numFmtId="0" fontId="0" fillId="0" borderId="53" xfId="0" applyNumberFormat="1" applyFill="1" applyBorder="1" applyAlignment="1">
      <alignment horizontal="center"/>
    </xf>
    <xf numFmtId="0" fontId="0" fillId="0" borderId="54" xfId="0" applyNumberFormat="1" applyFill="1" applyBorder="1" applyAlignment="1">
      <alignment horizontal="center"/>
    </xf>
    <xf numFmtId="0" fontId="4" fillId="0" borderId="0" xfId="0" applyFont="1" applyFill="1" applyBorder="1" applyAlignment="1">
      <alignment vertical="top"/>
    </xf>
    <xf numFmtId="0" fontId="11" fillId="0" borderId="117" xfId="0" applyFont="1" applyBorder="1" applyAlignment="1">
      <alignment horizontal="left"/>
    </xf>
    <xf numFmtId="0" fontId="0" fillId="25" borderId="0" xfId="0" applyFill="1" applyBorder="1" applyAlignment="1" applyProtection="1">
      <alignment vertical="top" wrapText="1"/>
      <protection hidden="1"/>
    </xf>
    <xf numFmtId="0" fontId="0" fillId="25" borderId="16" xfId="0" applyFill="1" applyBorder="1" applyAlignment="1" applyProtection="1">
      <alignment vertical="top" wrapText="1"/>
      <protection hidden="1"/>
    </xf>
    <xf numFmtId="0" fontId="0" fillId="0" borderId="0" xfId="0" applyAlignment="1">
      <alignment vertical="top" wrapText="1"/>
    </xf>
    <xf numFmtId="0" fontId="0" fillId="0" borderId="39" xfId="0" applyBorder="1" applyAlignment="1" applyProtection="1">
      <alignment horizontal="center" wrapText="1"/>
      <protection hidden="1"/>
    </xf>
    <xf numFmtId="0" fontId="0" fillId="0" borderId="34" xfId="0" applyFill="1" applyBorder="1" applyAlignment="1" applyProtection="1">
      <alignment vertical="center"/>
      <protection hidden="1"/>
    </xf>
    <xf numFmtId="0" fontId="5" fillId="36" borderId="37" xfId="0" applyFont="1" applyFill="1" applyBorder="1" applyAlignment="1" applyProtection="1">
      <alignment horizontal="right" vertical="center"/>
      <protection locked="0" hidden="1"/>
    </xf>
    <xf numFmtId="0" fontId="0" fillId="0" borderId="16" xfId="0" applyFill="1" applyBorder="1" applyAlignment="1" applyProtection="1">
      <alignment vertical="top"/>
      <protection hidden="1"/>
    </xf>
    <xf numFmtId="0" fontId="0" fillId="0" borderId="13" xfId="0" applyBorder="1" applyAlignment="1"/>
    <xf numFmtId="0" fontId="0" fillId="0" borderId="14" xfId="0" applyBorder="1" applyAlignment="1"/>
    <xf numFmtId="0" fontId="0" fillId="0" borderId="15" xfId="0" applyBorder="1" applyAlignment="1"/>
    <xf numFmtId="0" fontId="0" fillId="0" borderId="10" xfId="0" applyFill="1" applyBorder="1" applyAlignment="1" applyProtection="1">
      <alignment vertical="top"/>
      <protection hidden="1"/>
    </xf>
    <xf numFmtId="0" fontId="0" fillId="0" borderId="12" xfId="0" applyFill="1" applyBorder="1" applyProtection="1">
      <protection hidden="1"/>
    </xf>
    <xf numFmtId="0" fontId="0" fillId="0" borderId="17" xfId="0" applyFill="1" applyBorder="1" applyAlignment="1" applyProtection="1">
      <alignment vertical="top"/>
      <protection hidden="1"/>
    </xf>
    <xf numFmtId="0" fontId="0" fillId="0" borderId="13" xfId="0" applyFill="1" applyBorder="1" applyAlignment="1" applyProtection="1">
      <alignment vertical="top"/>
      <protection hidden="1"/>
    </xf>
    <xf numFmtId="0" fontId="0" fillId="0" borderId="14" xfId="0" applyFill="1" applyBorder="1" applyProtection="1">
      <protection hidden="1"/>
    </xf>
    <xf numFmtId="0" fontId="0" fillId="0" borderId="15" xfId="0" applyFill="1" applyBorder="1" applyAlignment="1" applyProtection="1">
      <alignment vertical="top"/>
      <protection hidden="1"/>
    </xf>
    <xf numFmtId="0" fontId="0" fillId="0" borderId="11" xfId="0" applyFill="1" applyBorder="1" applyAlignment="1" applyProtection="1">
      <alignment vertical="top"/>
      <protection hidden="1"/>
    </xf>
    <xf numFmtId="0" fontId="0" fillId="0" borderId="12" xfId="0" applyFill="1" applyBorder="1" applyAlignment="1" applyProtection="1">
      <alignment vertical="top"/>
      <protection hidden="1"/>
    </xf>
    <xf numFmtId="0" fontId="0" fillId="0" borderId="33" xfId="0" applyBorder="1" applyProtection="1">
      <protection hidden="1"/>
    </xf>
    <xf numFmtId="1" fontId="5" fillId="36" borderId="37" xfId="0" applyNumberFormat="1" applyFont="1" applyFill="1" applyBorder="1" applyProtection="1">
      <protection locked="0" hidden="1"/>
    </xf>
    <xf numFmtId="0" fontId="13" fillId="29" borderId="13" xfId="0" applyFont="1" applyFill="1" applyBorder="1" applyProtection="1">
      <protection hidden="1"/>
    </xf>
    <xf numFmtId="0" fontId="13" fillId="29" borderId="14" xfId="0" applyFont="1" applyFill="1" applyBorder="1" applyProtection="1">
      <protection hidden="1"/>
    </xf>
    <xf numFmtId="0" fontId="13" fillId="29" borderId="15" xfId="0" applyFont="1" applyFill="1" applyBorder="1" applyProtection="1">
      <protection hidden="1"/>
    </xf>
    <xf numFmtId="0" fontId="10" fillId="0" borderId="11" xfId="0" applyFont="1" applyBorder="1" applyProtection="1">
      <protection hidden="1"/>
    </xf>
    <xf numFmtId="164" fontId="4" fillId="0" borderId="10" xfId="0" applyNumberFormat="1" applyFont="1" applyBorder="1" applyProtection="1">
      <protection hidden="1"/>
    </xf>
    <xf numFmtId="169" fontId="0" fillId="0" borderId="10" xfId="0" applyNumberFormat="1" applyBorder="1" applyProtection="1">
      <protection hidden="1"/>
    </xf>
    <xf numFmtId="0" fontId="13" fillId="29" borderId="11" xfId="0" applyFont="1" applyFill="1" applyBorder="1" applyProtection="1">
      <protection hidden="1"/>
    </xf>
    <xf numFmtId="169" fontId="13" fillId="29" borderId="0" xfId="0" applyNumberFormat="1" applyFont="1" applyFill="1" applyBorder="1" applyProtection="1">
      <protection hidden="1"/>
    </xf>
    <xf numFmtId="169" fontId="13" fillId="29" borderId="10" xfId="0" applyNumberFormat="1" applyFont="1" applyFill="1" applyBorder="1" applyProtection="1">
      <protection hidden="1"/>
    </xf>
    <xf numFmtId="0" fontId="0" fillId="0" borderId="10" xfId="0" applyBorder="1" applyProtection="1">
      <protection hidden="1"/>
    </xf>
    <xf numFmtId="0" fontId="13" fillId="29" borderId="0" xfId="0" applyFont="1" applyFill="1" applyBorder="1" applyProtection="1">
      <protection hidden="1"/>
    </xf>
    <xf numFmtId="0" fontId="13" fillId="29" borderId="10" xfId="0" applyFont="1" applyFill="1" applyBorder="1" applyProtection="1">
      <protection hidden="1"/>
    </xf>
    <xf numFmtId="169" fontId="4" fillId="0" borderId="10" xfId="0" applyNumberFormat="1" applyFont="1" applyBorder="1" applyProtection="1">
      <protection hidden="1"/>
    </xf>
    <xf numFmtId="169" fontId="10" fillId="29" borderId="0" xfId="0" applyNumberFormat="1" applyFont="1" applyFill="1" applyBorder="1" applyProtection="1">
      <protection hidden="1"/>
    </xf>
    <xf numFmtId="169" fontId="10" fillId="29" borderId="10" xfId="0" applyNumberFormat="1" applyFont="1" applyFill="1" applyBorder="1" applyProtection="1">
      <protection hidden="1"/>
    </xf>
    <xf numFmtId="169" fontId="5" fillId="28" borderId="53" xfId="0" applyNumberFormat="1" applyFont="1" applyFill="1" applyBorder="1" applyProtection="1">
      <protection hidden="1"/>
    </xf>
    <xf numFmtId="0" fontId="0" fillId="34" borderId="13" xfId="0" applyFill="1" applyBorder="1" applyProtection="1">
      <protection hidden="1"/>
    </xf>
    <xf numFmtId="0" fontId="0" fillId="34" borderId="11" xfId="0" applyFill="1" applyBorder="1" applyProtection="1">
      <protection hidden="1"/>
    </xf>
    <xf numFmtId="0" fontId="0" fillId="34" borderId="12" xfId="0" applyFill="1" applyBorder="1" applyProtection="1">
      <protection hidden="1"/>
    </xf>
    <xf numFmtId="0" fontId="5" fillId="34" borderId="16" xfId="0" applyFont="1" applyFill="1" applyBorder="1" applyProtection="1">
      <protection hidden="1"/>
    </xf>
    <xf numFmtId="169" fontId="5" fillId="34" borderId="16" xfId="0" applyNumberFormat="1" applyFont="1" applyFill="1" applyBorder="1" applyProtection="1">
      <protection hidden="1"/>
    </xf>
    <xf numFmtId="0" fontId="0" fillId="32" borderId="0" xfId="0" applyFill="1" applyProtection="1">
      <protection hidden="1"/>
    </xf>
    <xf numFmtId="9" fontId="0" fillId="32" borderId="0" xfId="0" applyNumberFormat="1" applyFill="1" applyProtection="1">
      <protection hidden="1"/>
    </xf>
    <xf numFmtId="0" fontId="5" fillId="29" borderId="14" xfId="0" applyFont="1" applyFill="1" applyBorder="1" applyProtection="1">
      <protection hidden="1"/>
    </xf>
    <xf numFmtId="0" fontId="5" fillId="29" borderId="15" xfId="0" applyFont="1" applyFill="1" applyBorder="1" applyProtection="1">
      <protection hidden="1"/>
    </xf>
    <xf numFmtId="1" fontId="5" fillId="0" borderId="16" xfId="0" applyNumberFormat="1" applyFont="1" applyFill="1" applyBorder="1" applyProtection="1">
      <protection hidden="1"/>
    </xf>
    <xf numFmtId="0" fontId="0" fillId="0" borderId="16" xfId="0" applyNumberFormat="1" applyFill="1" applyBorder="1" applyProtection="1">
      <protection hidden="1"/>
    </xf>
    <xf numFmtId="0" fontId="0" fillId="32" borderId="13" xfId="0" applyFill="1" applyBorder="1" applyProtection="1">
      <protection hidden="1"/>
    </xf>
    <xf numFmtId="0" fontId="0" fillId="32" borderId="14" xfId="0" applyFill="1" applyBorder="1" applyProtection="1">
      <protection hidden="1"/>
    </xf>
    <xf numFmtId="0" fontId="0" fillId="32" borderId="14" xfId="0" applyFill="1" applyBorder="1" applyAlignment="1" applyProtection="1">
      <protection hidden="1"/>
    </xf>
    <xf numFmtId="0" fontId="0" fillId="32" borderId="15" xfId="0" applyFill="1" applyBorder="1" applyProtection="1">
      <protection hidden="1"/>
    </xf>
    <xf numFmtId="1" fontId="0" fillId="32" borderId="16" xfId="0" applyNumberFormat="1" applyFill="1" applyBorder="1" applyProtection="1">
      <protection hidden="1"/>
    </xf>
    <xf numFmtId="0" fontId="0" fillId="32" borderId="15" xfId="0" applyFill="1" applyBorder="1" applyAlignment="1" applyProtection="1">
      <alignment vertical="top" wrapText="1"/>
      <protection hidden="1"/>
    </xf>
    <xf numFmtId="0" fontId="0" fillId="32" borderId="10" xfId="0" applyFill="1" applyBorder="1" applyAlignment="1" applyProtection="1">
      <alignment vertical="top" wrapText="1"/>
      <protection hidden="1"/>
    </xf>
    <xf numFmtId="0" fontId="0" fillId="32" borderId="17" xfId="0" applyFill="1" applyBorder="1" applyAlignment="1" applyProtection="1">
      <alignment vertical="top" wrapText="1"/>
      <protection hidden="1"/>
    </xf>
    <xf numFmtId="0" fontId="0" fillId="32" borderId="0" xfId="0" applyFill="1" applyBorder="1" applyAlignment="1" applyProtection="1">
      <alignment vertical="top" wrapText="1"/>
      <protection hidden="1"/>
    </xf>
    <xf numFmtId="0" fontId="0" fillId="38" borderId="0" xfId="0" applyFill="1" applyBorder="1" applyAlignment="1" applyProtection="1">
      <alignment horizontal="center" vertical="top" wrapText="1"/>
      <protection hidden="1"/>
    </xf>
    <xf numFmtId="0" fontId="0" fillId="32" borderId="13" xfId="0" applyFill="1" applyBorder="1" applyAlignment="1" applyProtection="1">
      <alignment vertical="top" wrapText="1"/>
      <protection hidden="1"/>
    </xf>
    <xf numFmtId="0" fontId="0" fillId="32" borderId="14" xfId="0" applyFill="1" applyBorder="1" applyAlignment="1" applyProtection="1">
      <alignment vertical="top" wrapText="1"/>
      <protection hidden="1"/>
    </xf>
    <xf numFmtId="0" fontId="0" fillId="32" borderId="14" xfId="0" applyFill="1" applyBorder="1" applyAlignment="1" applyProtection="1">
      <alignment horizontal="center" vertical="top" wrapText="1"/>
      <protection hidden="1"/>
    </xf>
    <xf numFmtId="0" fontId="0" fillId="32" borderId="11" xfId="0" applyFill="1" applyBorder="1" applyAlignment="1" applyProtection="1">
      <alignment vertical="top" wrapText="1"/>
      <protection hidden="1"/>
    </xf>
    <xf numFmtId="0" fontId="0" fillId="32" borderId="12" xfId="0" applyFill="1" applyBorder="1" applyAlignment="1" applyProtection="1">
      <alignment vertical="top" wrapText="1"/>
      <protection hidden="1"/>
    </xf>
    <xf numFmtId="0" fontId="0" fillId="32" borderId="16" xfId="0" applyFill="1" applyBorder="1" applyAlignment="1" applyProtection="1">
      <alignment vertical="top" wrapText="1"/>
      <protection hidden="1"/>
    </xf>
    <xf numFmtId="0" fontId="0" fillId="32" borderId="16" xfId="0" applyFill="1" applyBorder="1" applyAlignment="1" applyProtection="1">
      <alignment horizontal="center" vertical="top" wrapText="1"/>
      <protection hidden="1"/>
    </xf>
    <xf numFmtId="0" fontId="5" fillId="0" borderId="11" xfId="0" applyFont="1" applyFill="1" applyBorder="1" applyAlignment="1" applyProtection="1">
      <alignment horizontal="left" vertical="top"/>
      <protection hidden="1"/>
    </xf>
    <xf numFmtId="0" fontId="20" fillId="0" borderId="11" xfId="0" applyFont="1" applyFill="1" applyBorder="1" applyProtection="1">
      <protection hidden="1"/>
    </xf>
    <xf numFmtId="10" fontId="0" fillId="0" borderId="10" xfId="42" applyNumberFormat="1" applyFont="1" applyFill="1" applyBorder="1" applyAlignment="1" applyProtection="1">
      <alignment horizontal="center"/>
      <protection hidden="1"/>
    </xf>
    <xf numFmtId="10" fontId="0" fillId="0" borderId="16" xfId="42" applyNumberFormat="1" applyFont="1" applyFill="1" applyBorder="1" applyProtection="1">
      <protection hidden="1"/>
    </xf>
    <xf numFmtId="169" fontId="1" fillId="0" borderId="11" xfId="0" applyNumberFormat="1" applyFont="1" applyFill="1" applyBorder="1" applyProtection="1">
      <protection hidden="1"/>
    </xf>
    <xf numFmtId="0" fontId="0" fillId="0" borderId="12" xfId="0" applyBorder="1" applyProtection="1">
      <protection hidden="1"/>
    </xf>
    <xf numFmtId="0" fontId="0" fillId="0" borderId="16" xfId="0" applyBorder="1" applyProtection="1">
      <protection hidden="1"/>
    </xf>
    <xf numFmtId="0" fontId="0" fillId="0" borderId="17" xfId="0" applyBorder="1" applyProtection="1">
      <protection hidden="1"/>
    </xf>
    <xf numFmtId="169" fontId="1" fillId="0" borderId="65" xfId="0" applyNumberFormat="1" applyFont="1" applyFill="1" applyBorder="1" applyProtection="1">
      <protection hidden="1"/>
    </xf>
    <xf numFmtId="0" fontId="0" fillId="0" borderId="75" xfId="0" applyBorder="1" applyProtection="1">
      <protection hidden="1"/>
    </xf>
    <xf numFmtId="0" fontId="0" fillId="0" borderId="118" xfId="0" applyBorder="1" applyProtection="1">
      <protection hidden="1"/>
    </xf>
    <xf numFmtId="0" fontId="0" fillId="0" borderId="119" xfId="0" applyBorder="1" applyProtection="1">
      <protection hidden="1"/>
    </xf>
    <xf numFmtId="0" fontId="0" fillId="0" borderId="120" xfId="0" applyBorder="1" applyProtection="1">
      <protection hidden="1"/>
    </xf>
    <xf numFmtId="0" fontId="1" fillId="0" borderId="11" xfId="0" applyFont="1" applyBorder="1" applyProtection="1">
      <protection hidden="1"/>
    </xf>
    <xf numFmtId="174" fontId="1" fillId="0" borderId="10" xfId="42" applyNumberFormat="1" applyFont="1" applyBorder="1" applyAlignment="1" applyProtection="1">
      <alignment horizontal="center"/>
      <protection hidden="1"/>
    </xf>
    <xf numFmtId="0" fontId="5" fillId="0" borderId="11" xfId="0" applyNumberFormat="1" applyFont="1" applyBorder="1" applyProtection="1">
      <protection hidden="1"/>
    </xf>
    <xf numFmtId="0" fontId="5" fillId="0" borderId="10" xfId="42" applyNumberFormat="1" applyFont="1" applyBorder="1" applyAlignment="1" applyProtection="1">
      <alignment horizontal="center"/>
      <protection hidden="1"/>
    </xf>
    <xf numFmtId="165" fontId="1" fillId="0" borderId="10" xfId="42" applyNumberFormat="1" applyFont="1" applyFill="1" applyBorder="1" applyAlignment="1" applyProtection="1">
      <alignment horizontal="left"/>
      <protection hidden="1"/>
    </xf>
    <xf numFmtId="0" fontId="5" fillId="0" borderId="11" xfId="0" applyFont="1" applyBorder="1" applyProtection="1">
      <protection hidden="1"/>
    </xf>
    <xf numFmtId="174" fontId="5" fillId="0" borderId="10" xfId="42" applyNumberFormat="1" applyFont="1" applyBorder="1" applyAlignment="1" applyProtection="1">
      <alignment horizontal="center"/>
      <protection hidden="1"/>
    </xf>
    <xf numFmtId="0" fontId="5" fillId="0" borderId="11" xfId="0" applyFont="1" applyFill="1" applyBorder="1" applyProtection="1">
      <protection hidden="1"/>
    </xf>
    <xf numFmtId="174" fontId="5" fillId="0" borderId="10" xfId="42" applyNumberFormat="1" applyFont="1" applyFill="1" applyBorder="1" applyAlignment="1" applyProtection="1">
      <alignment horizontal="center"/>
      <protection hidden="1"/>
    </xf>
    <xf numFmtId="0" fontId="5" fillId="0" borderId="12" xfId="0" applyFont="1" applyFill="1" applyBorder="1" applyProtection="1">
      <protection hidden="1"/>
    </xf>
    <xf numFmtId="0" fontId="5" fillId="0" borderId="16" xfId="0" applyFont="1" applyFill="1" applyBorder="1" applyProtection="1">
      <protection hidden="1"/>
    </xf>
    <xf numFmtId="10" fontId="5" fillId="0" borderId="16" xfId="42" applyNumberFormat="1" applyFont="1" applyFill="1" applyBorder="1" applyProtection="1">
      <protection hidden="1"/>
    </xf>
    <xf numFmtId="174" fontId="5" fillId="0" borderId="16" xfId="42" applyNumberFormat="1" applyFont="1" applyFill="1" applyBorder="1" applyAlignment="1" applyProtection="1">
      <alignment horizontal="center"/>
      <protection hidden="1"/>
    </xf>
    <xf numFmtId="174" fontId="5" fillId="0" borderId="17" xfId="42" applyNumberFormat="1" applyFont="1" applyFill="1" applyBorder="1" applyAlignment="1" applyProtection="1">
      <alignment horizontal="center"/>
      <protection hidden="1"/>
    </xf>
    <xf numFmtId="0" fontId="11" fillId="0" borderId="94" xfId="0" applyNumberFormat="1" applyFont="1" applyFill="1" applyBorder="1" applyAlignment="1" applyProtection="1">
      <protection hidden="1"/>
    </xf>
    <xf numFmtId="0" fontId="0" fillId="0" borderId="121" xfId="0" applyBorder="1" applyProtection="1">
      <protection hidden="1"/>
    </xf>
    <xf numFmtId="9" fontId="13" fillId="36" borderId="108" xfId="0" applyNumberFormat="1" applyFont="1" applyFill="1" applyBorder="1" applyProtection="1">
      <protection locked="0" hidden="1"/>
    </xf>
    <xf numFmtId="168" fontId="13" fillId="36" borderId="52" xfId="0" applyNumberFormat="1" applyFont="1" applyFill="1" applyBorder="1" applyProtection="1">
      <protection locked="0" hidden="1"/>
    </xf>
    <xf numFmtId="168" fontId="13" fillId="36" borderId="54" xfId="0" applyNumberFormat="1" applyFont="1" applyFill="1" applyBorder="1" applyProtection="1">
      <protection locked="0" hidden="1"/>
    </xf>
    <xf numFmtId="0" fontId="0" fillId="0" borderId="0" xfId="0" applyNumberFormat="1" applyBorder="1" applyAlignment="1" applyProtection="1">
      <alignment vertical="top"/>
      <protection hidden="1"/>
    </xf>
    <xf numFmtId="0" fontId="0" fillId="0" borderId="0" xfId="0" applyBorder="1" applyAlignment="1" applyProtection="1">
      <alignment vertical="top"/>
      <protection hidden="1"/>
    </xf>
    <xf numFmtId="0" fontId="5" fillId="0" borderId="0" xfId="0" applyNumberFormat="1" applyFont="1" applyBorder="1" applyProtection="1">
      <protection locked="0" hidden="1"/>
    </xf>
    <xf numFmtId="0" fontId="0" fillId="0" borderId="0" xfId="0" applyBorder="1" applyAlignment="1">
      <alignment vertical="top"/>
    </xf>
    <xf numFmtId="0" fontId="44" fillId="0" borderId="0" xfId="0" applyFont="1" applyFill="1" applyBorder="1" applyProtection="1">
      <protection hidden="1"/>
    </xf>
    <xf numFmtId="0" fontId="45" fillId="0" borderId="0" xfId="0" applyFont="1" applyFill="1" applyBorder="1" applyProtection="1">
      <protection hidden="1"/>
    </xf>
    <xf numFmtId="0" fontId="46" fillId="0" borderId="0" xfId="0" applyFont="1" applyFill="1" applyBorder="1" applyProtection="1">
      <protection hidden="1"/>
    </xf>
    <xf numFmtId="0" fontId="46" fillId="0" borderId="0" xfId="0" applyFont="1" applyFill="1" applyBorder="1" applyAlignment="1" applyProtection="1">
      <protection hidden="1"/>
    </xf>
    <xf numFmtId="0" fontId="0" fillId="0" borderId="85" xfId="0" applyBorder="1" applyAlignment="1" applyProtection="1">
      <alignment horizontal="left"/>
      <protection hidden="1"/>
    </xf>
    <xf numFmtId="0" fontId="0" fillId="0" borderId="86" xfId="0" applyBorder="1" applyAlignment="1" applyProtection="1">
      <alignment horizontal="right"/>
      <protection hidden="1"/>
    </xf>
    <xf numFmtId="2" fontId="10" fillId="0" borderId="0" xfId="0" applyNumberFormat="1" applyFont="1" applyFill="1" applyBorder="1"/>
    <xf numFmtId="3" fontId="10" fillId="0" borderId="0" xfId="0" applyNumberFormat="1" applyFont="1" applyFill="1" applyBorder="1"/>
    <xf numFmtId="3" fontId="10" fillId="0" borderId="0" xfId="0" applyNumberFormat="1" applyFont="1" applyFill="1" applyBorder="1" applyAlignment="1">
      <alignment wrapText="1"/>
    </xf>
    <xf numFmtId="0" fontId="10" fillId="0" borderId="0" xfId="0" applyFont="1" applyFill="1" applyBorder="1"/>
    <xf numFmtId="0" fontId="10" fillId="0" borderId="0" xfId="0" applyFont="1" applyFill="1" applyBorder="1" applyAlignment="1">
      <alignment horizontal="right" wrapText="1"/>
    </xf>
    <xf numFmtId="2" fontId="10" fillId="39" borderId="0" xfId="0" applyNumberFormat="1" applyFont="1" applyFill="1" applyBorder="1"/>
    <xf numFmtId="3" fontId="10" fillId="39" borderId="0" xfId="0" applyNumberFormat="1" applyFont="1" applyFill="1" applyBorder="1"/>
    <xf numFmtId="2" fontId="10" fillId="0" borderId="0" xfId="0" quotePrefix="1" applyNumberFormat="1" applyFont="1" applyFill="1" applyBorder="1"/>
    <xf numFmtId="0" fontId="0" fillId="0" borderId="39" xfId="0" applyNumberFormat="1" applyFill="1" applyBorder="1" applyAlignment="1">
      <alignment horizontal="center"/>
    </xf>
    <xf numFmtId="0" fontId="0" fillId="0" borderId="49" xfId="0" applyNumberFormat="1" applyFill="1" applyBorder="1" applyAlignment="1">
      <alignment horizontal="center"/>
    </xf>
    <xf numFmtId="0" fontId="6" fillId="0" borderId="44" xfId="35" applyNumberFormat="1" applyFill="1" applyBorder="1" applyAlignment="1" applyProtection="1">
      <alignment horizontal="left"/>
    </xf>
    <xf numFmtId="0" fontId="6" fillId="0" borderId="48" xfId="35" applyNumberFormat="1" applyFill="1" applyBorder="1" applyAlignment="1" applyProtection="1">
      <alignment horizontal="left"/>
    </xf>
    <xf numFmtId="0" fontId="0" fillId="0" borderId="35" xfId="0" applyBorder="1" applyAlignment="1" applyProtection="1">
      <alignment horizontal="right"/>
      <protection hidden="1"/>
    </xf>
    <xf numFmtId="0" fontId="18" fillId="0" borderId="0" xfId="0" applyFont="1" applyAlignment="1" applyProtection="1">
      <alignment horizontal="left"/>
      <protection hidden="1"/>
    </xf>
    <xf numFmtId="0" fontId="0" fillId="0" borderId="0" xfId="0" applyAlignment="1" applyProtection="1">
      <alignment horizontal="left" vertical="top" wrapText="1"/>
      <protection hidden="1"/>
    </xf>
    <xf numFmtId="0" fontId="0" fillId="0" borderId="17" xfId="0" applyBorder="1" applyAlignment="1" applyProtection="1">
      <alignment horizontal="right"/>
      <protection hidden="1"/>
    </xf>
    <xf numFmtId="0" fontId="0" fillId="0" borderId="45" xfId="0" applyBorder="1" applyAlignment="1" applyProtection="1">
      <alignment horizontal="right"/>
      <protection hidden="1"/>
    </xf>
    <xf numFmtId="0" fontId="11" fillId="0" borderId="7" xfId="0" applyFont="1" applyBorder="1" applyProtection="1">
      <protection hidden="1"/>
    </xf>
    <xf numFmtId="0" fontId="11" fillId="0" borderId="52" xfId="0" applyFont="1" applyBorder="1" applyProtection="1">
      <protection hidden="1"/>
    </xf>
    <xf numFmtId="2" fontId="11" fillId="0" borderId="44" xfId="0" applyNumberFormat="1" applyFont="1" applyBorder="1" applyAlignment="1" applyProtection="1">
      <alignment horizontal="right"/>
      <protection hidden="1"/>
    </xf>
    <xf numFmtId="3" fontId="0" fillId="0" borderId="7" xfId="0" applyNumberFormat="1" applyBorder="1" applyProtection="1">
      <protection hidden="1"/>
    </xf>
    <xf numFmtId="3" fontId="0" fillId="0" borderId="52" xfId="0" applyNumberFormat="1" applyBorder="1" applyProtection="1">
      <protection hidden="1"/>
    </xf>
    <xf numFmtId="0" fontId="11" fillId="0" borderId="44" xfId="0" applyFont="1" applyBorder="1" applyAlignment="1" applyProtection="1">
      <alignment horizontal="right"/>
      <protection hidden="1"/>
    </xf>
    <xf numFmtId="0" fontId="11" fillId="0" borderId="48" xfId="0" applyFont="1" applyBorder="1" applyAlignment="1" applyProtection="1">
      <alignment horizontal="right"/>
      <protection hidden="1"/>
    </xf>
    <xf numFmtId="3" fontId="0" fillId="0" borderId="53" xfId="0" applyNumberFormat="1" applyBorder="1" applyProtection="1">
      <protection hidden="1"/>
    </xf>
    <xf numFmtId="3" fontId="0" fillId="0" borderId="54" xfId="0" applyNumberFormat="1" applyBorder="1" applyProtection="1">
      <protection hidden="1"/>
    </xf>
    <xf numFmtId="3" fontId="0" fillId="0" borderId="0" xfId="0" applyNumberFormat="1" applyAlignment="1" applyProtection="1">
      <alignment horizontal="right"/>
      <protection hidden="1"/>
    </xf>
    <xf numFmtId="4" fontId="10" fillId="0" borderId="0" xfId="0" applyNumberFormat="1" applyFont="1" applyFill="1" applyBorder="1"/>
    <xf numFmtId="4" fontId="47" fillId="0" borderId="0" xfId="0" applyNumberFormat="1" applyFont="1" applyFill="1" applyBorder="1"/>
    <xf numFmtId="3" fontId="47" fillId="0" borderId="0" xfId="0" applyNumberFormat="1" applyFont="1" applyFill="1" applyBorder="1"/>
    <xf numFmtId="0" fontId="5" fillId="36" borderId="94" xfId="0" applyFont="1" applyFill="1" applyBorder="1" applyProtection="1">
      <protection hidden="1"/>
    </xf>
    <xf numFmtId="0" fontId="5" fillId="36" borderId="95" xfId="0" applyFont="1" applyFill="1" applyBorder="1" applyProtection="1">
      <protection hidden="1"/>
    </xf>
    <xf numFmtId="3" fontId="5" fillId="36" borderId="96" xfId="0" applyNumberFormat="1" applyFont="1" applyFill="1" applyBorder="1" applyProtection="1">
      <protection locked="0"/>
    </xf>
    <xf numFmtId="0" fontId="11" fillId="0" borderId="7" xfId="0" applyFont="1" applyBorder="1" applyAlignment="1" applyProtection="1">
      <alignment horizontal="center"/>
      <protection hidden="1"/>
    </xf>
    <xf numFmtId="0" fontId="11" fillId="0" borderId="39" xfId="0" applyFont="1" applyBorder="1" applyAlignment="1" applyProtection="1">
      <alignment horizontal="left"/>
      <protection hidden="1"/>
    </xf>
    <xf numFmtId="0" fontId="1" fillId="0" borderId="39" xfId="0" quotePrefix="1" applyFont="1" applyFill="1" applyBorder="1" applyAlignment="1" applyProtection="1">
      <protection hidden="1"/>
    </xf>
    <xf numFmtId="0" fontId="1" fillId="0" borderId="38" xfId="0" applyFont="1" applyFill="1" applyBorder="1" applyAlignment="1" applyProtection="1">
      <protection hidden="1"/>
    </xf>
    <xf numFmtId="0" fontId="13" fillId="29" borderId="38" xfId="0" applyFont="1" applyFill="1" applyBorder="1" applyAlignment="1" applyProtection="1">
      <protection hidden="1"/>
    </xf>
    <xf numFmtId="0" fontId="0" fillId="0" borderId="40" xfId="0" applyBorder="1" applyProtection="1">
      <protection hidden="1"/>
    </xf>
    <xf numFmtId="0" fontId="0" fillId="0" borderId="39" xfId="0" applyBorder="1" applyProtection="1">
      <protection hidden="1"/>
    </xf>
    <xf numFmtId="0" fontId="0" fillId="0" borderId="39" xfId="0" quotePrefix="1" applyBorder="1" applyAlignment="1" applyProtection="1">
      <protection hidden="1"/>
    </xf>
    <xf numFmtId="0" fontId="5" fillId="29" borderId="38" xfId="0" applyFont="1" applyFill="1" applyBorder="1" applyAlignment="1" applyProtection="1">
      <protection hidden="1"/>
    </xf>
    <xf numFmtId="0" fontId="5" fillId="29" borderId="39" xfId="0" applyFont="1" applyFill="1" applyBorder="1" applyAlignment="1" applyProtection="1">
      <alignment horizontal="left"/>
    </xf>
    <xf numFmtId="49" fontId="0" fillId="0" borderId="0" xfId="0" applyNumberFormat="1" applyAlignment="1">
      <alignment horizontal="center"/>
    </xf>
    <xf numFmtId="0" fontId="5" fillId="40" borderId="44" xfId="0" applyFont="1" applyFill="1" applyBorder="1" applyProtection="1">
      <protection hidden="1"/>
    </xf>
    <xf numFmtId="0" fontId="5" fillId="40" borderId="7" xfId="0" applyFont="1" applyFill="1" applyBorder="1" applyProtection="1">
      <protection hidden="1"/>
    </xf>
    <xf numFmtId="0" fontId="5" fillId="40" borderId="52" xfId="0" applyFont="1" applyFill="1" applyBorder="1" applyProtection="1">
      <protection hidden="1"/>
    </xf>
    <xf numFmtId="0" fontId="48" fillId="0" borderId="0" xfId="0" applyFont="1" applyFill="1" applyBorder="1" applyAlignment="1" applyProtection="1">
      <alignment horizontal="right"/>
      <protection hidden="1"/>
    </xf>
    <xf numFmtId="177" fontId="0" fillId="0" borderId="7" xfId="0" quotePrefix="1" applyNumberFormat="1" applyBorder="1" applyProtection="1"/>
    <xf numFmtId="0" fontId="4" fillId="0" borderId="0" xfId="0" applyFont="1" applyProtection="1">
      <protection hidden="1"/>
    </xf>
    <xf numFmtId="0" fontId="10" fillId="0" borderId="0" xfId="0" applyFont="1" applyProtection="1">
      <protection hidden="1"/>
    </xf>
    <xf numFmtId="0" fontId="10" fillId="0" borderId="0" xfId="0" applyFont="1" applyAlignment="1" applyProtection="1">
      <alignment vertical="top"/>
      <protection hidden="1"/>
    </xf>
    <xf numFmtId="0" fontId="0" fillId="39" borderId="0" xfId="0" applyFill="1"/>
    <xf numFmtId="0" fontId="0" fillId="0" borderId="0" xfId="0" applyAlignment="1" applyProtection="1">
      <alignment vertical="top"/>
      <protection hidden="1"/>
    </xf>
    <xf numFmtId="0" fontId="0" fillId="0" borderId="0" xfId="0" applyAlignment="1">
      <alignment vertical="top"/>
    </xf>
    <xf numFmtId="0" fontId="1" fillId="0" borderId="0" xfId="0" applyFont="1" applyBorder="1" applyAlignment="1" applyProtection="1">
      <alignment horizontal="right"/>
      <protection hidden="1"/>
    </xf>
    <xf numFmtId="0" fontId="1" fillId="0" borderId="0" xfId="0" applyFont="1" applyAlignment="1" applyProtection="1">
      <alignment horizontal="right"/>
      <protection hidden="1"/>
    </xf>
    <xf numFmtId="168" fontId="1" fillId="0" borderId="0" xfId="42" applyNumberFormat="1" applyFont="1" applyProtection="1">
      <protection hidden="1"/>
    </xf>
    <xf numFmtId="0" fontId="0" fillId="0" borderId="122" xfId="0" applyBorder="1" applyAlignment="1">
      <alignment horizontal="center"/>
    </xf>
    <xf numFmtId="0" fontId="0" fillId="0" borderId="123" xfId="0" applyBorder="1" applyAlignment="1">
      <alignment horizontal="center"/>
    </xf>
    <xf numFmtId="0" fontId="0" fillId="0" borderId="124" xfId="0" applyBorder="1" applyAlignment="1">
      <alignment horizontal="center"/>
    </xf>
    <xf numFmtId="0" fontId="0" fillId="0" borderId="125" xfId="0" applyBorder="1"/>
    <xf numFmtId="0" fontId="0" fillId="0" borderId="126" xfId="0" applyBorder="1"/>
    <xf numFmtId="0" fontId="0" fillId="0" borderId="127" xfId="0" applyBorder="1"/>
    <xf numFmtId="0" fontId="0" fillId="0" borderId="128" xfId="0" applyBorder="1"/>
    <xf numFmtId="0" fontId="0" fillId="0" borderId="129" xfId="0" applyBorder="1"/>
    <xf numFmtId="0" fontId="0" fillId="0" borderId="122" xfId="0" applyBorder="1"/>
    <xf numFmtId="0" fontId="0" fillId="0" borderId="130" xfId="0" applyBorder="1"/>
    <xf numFmtId="0" fontId="0" fillId="0" borderId="122" xfId="0" applyBorder="1" applyProtection="1">
      <protection hidden="1"/>
    </xf>
    <xf numFmtId="0" fontId="1" fillId="0" borderId="122" xfId="0" quotePrefix="1" applyFont="1" applyBorder="1"/>
    <xf numFmtId="0" fontId="0" fillId="0" borderId="124" xfId="0" applyBorder="1"/>
    <xf numFmtId="0" fontId="0" fillId="0" borderId="131" xfId="0" applyBorder="1"/>
    <xf numFmtId="0" fontId="0" fillId="0" borderId="113" xfId="0" applyBorder="1"/>
    <xf numFmtId="0" fontId="5" fillId="28" borderId="122" xfId="0" applyFont="1" applyFill="1" applyBorder="1" applyProtection="1">
      <protection hidden="1"/>
    </xf>
    <xf numFmtId="0" fontId="0" fillId="0" borderId="132" xfId="0" applyBorder="1"/>
    <xf numFmtId="0" fontId="0" fillId="0" borderId="133" xfId="0" applyBorder="1"/>
    <xf numFmtId="0" fontId="0" fillId="0" borderId="134" xfId="0" applyBorder="1"/>
    <xf numFmtId="0" fontId="0" fillId="0" borderId="135" xfId="0" applyBorder="1"/>
    <xf numFmtId="0" fontId="0" fillId="0" borderId="136" xfId="0" applyBorder="1"/>
    <xf numFmtId="0" fontId="0" fillId="0" borderId="137" xfId="0" applyBorder="1"/>
    <xf numFmtId="0" fontId="0" fillId="0" borderId="138" xfId="0" applyBorder="1"/>
    <xf numFmtId="0" fontId="0" fillId="0" borderId="139" xfId="0" applyBorder="1"/>
    <xf numFmtId="0" fontId="0" fillId="0" borderId="140" xfId="0" applyBorder="1"/>
    <xf numFmtId="0" fontId="0" fillId="0" borderId="123" xfId="0" applyBorder="1"/>
    <xf numFmtId="0" fontId="1" fillId="0" borderId="122" xfId="0" applyFont="1" applyFill="1" applyBorder="1"/>
    <xf numFmtId="0" fontId="0" fillId="0" borderId="122" xfId="0" applyBorder="1" applyAlignment="1" applyProtection="1">
      <protection hidden="1"/>
    </xf>
    <xf numFmtId="0" fontId="0" fillId="0" borderId="129" xfId="0" applyBorder="1" applyProtection="1">
      <protection hidden="1"/>
    </xf>
    <xf numFmtId="0" fontId="1" fillId="0" borderId="122" xfId="0" quotePrefix="1" applyFont="1" applyBorder="1" applyAlignment="1"/>
    <xf numFmtId="0" fontId="0" fillId="0" borderId="128" xfId="0" applyBorder="1" applyProtection="1">
      <protection hidden="1"/>
    </xf>
    <xf numFmtId="0" fontId="10" fillId="0" borderId="0" xfId="0" applyFont="1"/>
    <xf numFmtId="0" fontId="10" fillId="0" borderId="122" xfId="0" applyFont="1" applyBorder="1" applyAlignment="1">
      <alignment horizontal="center"/>
    </xf>
    <xf numFmtId="0" fontId="10" fillId="0" borderId="122" xfId="0" applyFont="1" applyBorder="1"/>
    <xf numFmtId="0" fontId="10" fillId="0" borderId="123" xfId="0" applyFont="1" applyBorder="1"/>
    <xf numFmtId="0" fontId="10" fillId="0" borderId="123" xfId="0" applyFont="1" applyFill="1" applyBorder="1" applyAlignment="1">
      <alignment horizontal="center"/>
    </xf>
    <xf numFmtId="0" fontId="10" fillId="0" borderId="123" xfId="0" applyFont="1" applyFill="1" applyBorder="1" applyAlignment="1">
      <alignment horizontal="left"/>
    </xf>
    <xf numFmtId="0" fontId="10" fillId="0" borderId="124" xfId="0" applyFont="1" applyBorder="1" applyAlignment="1">
      <alignment horizontal="center"/>
    </xf>
    <xf numFmtId="41" fontId="10" fillId="0" borderId="125" xfId="0" applyNumberFormat="1" applyFont="1" applyFill="1" applyBorder="1" applyAlignment="1">
      <alignment horizontal="left"/>
    </xf>
    <xf numFmtId="9" fontId="10" fillId="0" borderId="129" xfId="42" applyFont="1" applyBorder="1" applyProtection="1">
      <protection hidden="1"/>
    </xf>
    <xf numFmtId="0" fontId="10" fillId="0" borderId="124" xfId="0" applyFont="1" applyBorder="1"/>
    <xf numFmtId="41" fontId="10" fillId="41" borderId="141" xfId="0" applyNumberFormat="1" applyFont="1" applyFill="1" applyBorder="1" applyAlignment="1">
      <alignment horizontal="center"/>
    </xf>
    <xf numFmtId="0" fontId="10" fillId="0" borderId="126" xfId="0" applyFont="1" applyBorder="1"/>
    <xf numFmtId="9" fontId="10" fillId="41" borderId="142" xfId="42" applyFont="1" applyFill="1" applyBorder="1" applyAlignment="1">
      <alignment horizontal="left"/>
    </xf>
    <xf numFmtId="0" fontId="10" fillId="0" borderId="130" xfId="0" applyFont="1" applyBorder="1"/>
    <xf numFmtId="41" fontId="10" fillId="41" borderId="143" xfId="0" applyNumberFormat="1" applyFont="1" applyFill="1" applyBorder="1" applyAlignment="1">
      <alignment horizontal="center"/>
    </xf>
    <xf numFmtId="9" fontId="10" fillId="41" borderId="144" xfId="42" applyFont="1" applyFill="1" applyBorder="1" applyAlignment="1">
      <alignment horizontal="left"/>
    </xf>
    <xf numFmtId="0" fontId="10" fillId="0" borderId="0" xfId="0" applyFont="1" applyBorder="1"/>
    <xf numFmtId="41" fontId="10" fillId="41" borderId="145" xfId="0" applyNumberFormat="1" applyFont="1" applyFill="1" applyBorder="1" applyAlignment="1">
      <alignment horizontal="center"/>
    </xf>
    <xf numFmtId="9" fontId="10" fillId="41" borderId="146" xfId="42" applyFont="1" applyFill="1" applyBorder="1" applyAlignment="1">
      <alignment horizontal="left"/>
    </xf>
    <xf numFmtId="0" fontId="10" fillId="0" borderId="129" xfId="0" applyFont="1" applyBorder="1"/>
    <xf numFmtId="0" fontId="10" fillId="0" borderId="123" xfId="0" applyFont="1" applyBorder="1" applyAlignment="1">
      <alignment horizontal="center"/>
    </xf>
    <xf numFmtId="9" fontId="10" fillId="41" borderId="138" xfId="0" applyNumberFormat="1" applyFont="1" applyFill="1" applyBorder="1" applyAlignment="1">
      <alignment horizontal="center"/>
    </xf>
    <xf numFmtId="9" fontId="10" fillId="41" borderId="139" xfId="0" applyNumberFormat="1" applyFont="1" applyFill="1" applyBorder="1" applyAlignment="1">
      <alignment horizontal="center"/>
    </xf>
    <xf numFmtId="9" fontId="10" fillId="41" borderId="140" xfId="0" applyNumberFormat="1" applyFont="1" applyFill="1" applyBorder="1" applyAlignment="1">
      <alignment horizontal="center"/>
    </xf>
    <xf numFmtId="0" fontId="10" fillId="0" borderId="113" xfId="0" applyFont="1" applyBorder="1" applyAlignment="1">
      <alignment horizontal="center"/>
    </xf>
    <xf numFmtId="0" fontId="10" fillId="41" borderId="135" xfId="0" applyFont="1" applyFill="1" applyBorder="1" applyAlignment="1">
      <alignment horizontal="center"/>
    </xf>
    <xf numFmtId="0" fontId="10" fillId="41" borderId="136" xfId="0" applyFont="1" applyFill="1" applyBorder="1" applyAlignment="1">
      <alignment horizontal="center"/>
    </xf>
    <xf numFmtId="0" fontId="10" fillId="41" borderId="137" xfId="0" applyFont="1" applyFill="1" applyBorder="1" applyAlignment="1">
      <alignment horizontal="center"/>
    </xf>
    <xf numFmtId="0" fontId="10" fillId="0" borderId="125" xfId="0" applyFont="1" applyBorder="1"/>
    <xf numFmtId="9" fontId="10" fillId="41" borderId="142" xfId="42" applyFont="1" applyFill="1" applyBorder="1" applyAlignment="1">
      <alignment horizontal="center"/>
    </xf>
    <xf numFmtId="9" fontId="10" fillId="41" borderId="144" xfId="42" applyFont="1" applyFill="1" applyBorder="1" applyAlignment="1">
      <alignment horizontal="center"/>
    </xf>
    <xf numFmtId="9" fontId="10" fillId="41" borderId="146" xfId="42" applyFont="1" applyFill="1" applyBorder="1" applyAlignment="1">
      <alignment horizontal="center"/>
    </xf>
    <xf numFmtId="9" fontId="13" fillId="28" borderId="129" xfId="42" applyFont="1" applyFill="1" applyBorder="1" applyProtection="1">
      <protection hidden="1"/>
    </xf>
    <xf numFmtId="0" fontId="18" fillId="0" borderId="0" xfId="0" applyFont="1" applyAlignment="1"/>
    <xf numFmtId="0" fontId="0" fillId="0" borderId="116" xfId="0" applyFill="1" applyBorder="1" applyAlignment="1" applyProtection="1">
      <alignment horizontal="right"/>
      <protection hidden="1"/>
    </xf>
    <xf numFmtId="0" fontId="0" fillId="0" borderId="147" xfId="0" applyFill="1" applyBorder="1" applyAlignment="1" applyProtection="1">
      <protection hidden="1"/>
    </xf>
    <xf numFmtId="0" fontId="0" fillId="0" borderId="147" xfId="0" applyBorder="1" applyAlignment="1">
      <alignment vertical="top"/>
    </xf>
    <xf numFmtId="0" fontId="0" fillId="0" borderId="147" xfId="0" applyBorder="1" applyAlignment="1"/>
    <xf numFmtId="0" fontId="0" fillId="0" borderId="148" xfId="0" applyBorder="1" applyAlignment="1">
      <alignment vertical="top"/>
    </xf>
    <xf numFmtId="0" fontId="0" fillId="0" borderId="149" xfId="0" applyBorder="1" applyAlignment="1"/>
    <xf numFmtId="0" fontId="5" fillId="36" borderId="33" xfId="0" applyFont="1" applyFill="1" applyBorder="1" applyAlignment="1">
      <alignment vertical="center"/>
    </xf>
    <xf numFmtId="0" fontId="5" fillId="36" borderId="34" xfId="0" applyFont="1" applyFill="1" applyBorder="1" applyAlignment="1">
      <alignment vertical="top"/>
    </xf>
    <xf numFmtId="0" fontId="5" fillId="36" borderId="37" xfId="0" applyFont="1" applyFill="1" applyBorder="1" applyAlignment="1" applyProtection="1">
      <protection hidden="1"/>
    </xf>
    <xf numFmtId="0" fontId="0" fillId="0" borderId="150" xfId="0" applyBorder="1" applyAlignment="1">
      <alignment vertical="top"/>
    </xf>
    <xf numFmtId="0" fontId="0" fillId="0" borderId="0" xfId="0" applyFill="1" applyBorder="1" applyAlignment="1" applyProtection="1">
      <alignment horizontal="right"/>
      <protection hidden="1"/>
    </xf>
    <xf numFmtId="0" fontId="0" fillId="0" borderId="122" xfId="0" applyBorder="1" applyAlignment="1" applyProtection="1">
      <alignment horizontal="center"/>
      <protection hidden="1"/>
    </xf>
    <xf numFmtId="0" fontId="0" fillId="0" borderId="129" xfId="0" applyBorder="1" applyAlignment="1">
      <alignment horizontal="center"/>
    </xf>
    <xf numFmtId="165" fontId="0" fillId="0" borderId="149" xfId="0" applyNumberFormat="1" applyBorder="1" applyAlignment="1"/>
    <xf numFmtId="0" fontId="0" fillId="0" borderId="150" xfId="0" applyFill="1" applyBorder="1" applyAlignment="1">
      <alignment vertical="top"/>
    </xf>
    <xf numFmtId="0" fontId="0" fillId="0" borderId="0" xfId="0" applyFill="1" applyBorder="1" applyAlignment="1"/>
    <xf numFmtId="165" fontId="0" fillId="0" borderId="151" xfId="0" applyNumberFormat="1" applyBorder="1" applyAlignment="1"/>
    <xf numFmtId="0" fontId="0" fillId="0" borderId="35" xfId="0" applyFill="1" applyBorder="1" applyAlignment="1"/>
    <xf numFmtId="0" fontId="0" fillId="0" borderId="35" xfId="0" applyFill="1" applyBorder="1" applyAlignment="1">
      <alignment vertical="top"/>
    </xf>
    <xf numFmtId="0" fontId="0" fillId="0" borderId="102" xfId="0" applyFill="1" applyBorder="1" applyAlignment="1">
      <alignment vertical="top"/>
    </xf>
    <xf numFmtId="0" fontId="11" fillId="41" borderId="123" xfId="0" applyFont="1" applyFill="1" applyBorder="1" applyAlignment="1"/>
    <xf numFmtId="0" fontId="11" fillId="41" borderId="122" xfId="0" applyFont="1" applyFill="1" applyBorder="1" applyAlignment="1"/>
    <xf numFmtId="0" fontId="0" fillId="0" borderId="122" xfId="0" applyBorder="1" applyAlignment="1"/>
    <xf numFmtId="0" fontId="0" fillId="41" borderId="125" xfId="0" applyFill="1" applyBorder="1" applyAlignment="1"/>
    <xf numFmtId="9" fontId="0" fillId="41" borderId="129" xfId="0" applyNumberFormat="1" applyFill="1" applyBorder="1" applyAlignment="1"/>
    <xf numFmtId="9" fontId="0" fillId="41" borderId="122" xfId="0" applyNumberFormat="1" applyFill="1" applyBorder="1" applyAlignment="1"/>
    <xf numFmtId="0" fontId="0" fillId="0" borderId="130" xfId="0" applyBorder="1" applyAlignment="1"/>
    <xf numFmtId="0" fontId="5" fillId="29" borderId="122" xfId="0" applyFont="1" applyFill="1" applyBorder="1" applyAlignment="1"/>
    <xf numFmtId="0" fontId="5" fillId="29" borderId="123" xfId="0" applyFont="1" applyFill="1" applyBorder="1" applyAlignment="1"/>
    <xf numFmtId="0" fontId="0" fillId="0" borderId="124" xfId="0" applyBorder="1" applyAlignment="1"/>
    <xf numFmtId="0" fontId="0" fillId="0" borderId="127" xfId="0" applyBorder="1" applyAlignment="1"/>
    <xf numFmtId="0" fontId="0" fillId="0" borderId="129" xfId="0" applyBorder="1" applyAlignment="1"/>
    <xf numFmtId="9" fontId="1" fillId="0" borderId="130" xfId="42" applyBorder="1" applyAlignment="1" applyProtection="1">
      <protection hidden="1"/>
    </xf>
    <xf numFmtId="0" fontId="0" fillId="0" borderId="123" xfId="0" applyBorder="1" applyAlignment="1"/>
    <xf numFmtId="0" fontId="0" fillId="0" borderId="125" xfId="0" applyBorder="1" applyAlignment="1"/>
    <xf numFmtId="0" fontId="4" fillId="0" borderId="0" xfId="0" applyFont="1" applyAlignment="1">
      <alignment vertical="top"/>
    </xf>
    <xf numFmtId="0" fontId="0" fillId="0" borderId="122" xfId="0" applyNumberFormat="1" applyBorder="1" applyAlignment="1"/>
    <xf numFmtId="9" fontId="0" fillId="0" borderId="129" xfId="0" applyNumberFormat="1" applyBorder="1" applyAlignment="1"/>
    <xf numFmtId="9" fontId="0" fillId="0" borderId="122" xfId="0" applyNumberFormat="1" applyBorder="1" applyAlignment="1"/>
    <xf numFmtId="0" fontId="11" fillId="0" borderId="122" xfId="0" applyFont="1" applyBorder="1" applyAlignment="1"/>
    <xf numFmtId="0" fontId="13" fillId="29" borderId="122" xfId="0" applyFont="1" applyFill="1" applyBorder="1" applyAlignment="1"/>
    <xf numFmtId="0" fontId="11" fillId="0" borderId="122" xfId="0" applyFont="1" applyFill="1" applyBorder="1" applyAlignment="1"/>
    <xf numFmtId="0" fontId="0" fillId="0" borderId="122" xfId="0" applyFill="1" applyBorder="1" applyAlignment="1"/>
    <xf numFmtId="0" fontId="4" fillId="0" borderId="0" xfId="0" applyFont="1" applyAlignment="1"/>
    <xf numFmtId="0" fontId="0" fillId="27" borderId="125" xfId="0" applyFill="1" applyBorder="1" applyAlignment="1"/>
    <xf numFmtId="0" fontId="0" fillId="0" borderId="122" xfId="0" applyBorder="1" applyAlignment="1">
      <alignment horizontal="center" vertical="top"/>
    </xf>
    <xf numFmtId="0" fontId="0" fillId="0" borderId="0" xfId="0" applyBorder="1" applyAlignment="1">
      <alignment horizontal="center" vertical="top"/>
    </xf>
    <xf numFmtId="0" fontId="0" fillId="0" borderId="122" xfId="0" applyBorder="1" applyAlignment="1">
      <alignment vertical="top"/>
    </xf>
    <xf numFmtId="0" fontId="0" fillId="0" borderId="123" xfId="0" applyBorder="1" applyAlignment="1">
      <alignment vertical="top"/>
    </xf>
    <xf numFmtId="0" fontId="0" fillId="0" borderId="124" xfId="0" applyBorder="1" applyAlignment="1">
      <alignment vertical="top"/>
    </xf>
    <xf numFmtId="0" fontId="0" fillId="0" borderId="125" xfId="0" applyBorder="1" applyAlignment="1">
      <alignment vertical="top"/>
    </xf>
    <xf numFmtId="0" fontId="0" fillId="0" borderId="129" xfId="0" applyBorder="1" applyAlignment="1">
      <alignment vertical="top"/>
    </xf>
    <xf numFmtId="0" fontId="0" fillId="0" borderId="130" xfId="0" applyBorder="1" applyAlignment="1">
      <alignment vertical="top"/>
    </xf>
    <xf numFmtId="0" fontId="0" fillId="0" borderId="122" xfId="0" applyBorder="1" applyAlignment="1" applyProtection="1">
      <alignment vertical="top"/>
      <protection hidden="1"/>
    </xf>
    <xf numFmtId="0" fontId="1" fillId="0" borderId="122" xfId="0" quotePrefix="1" applyFont="1" applyBorder="1" applyProtection="1">
      <protection hidden="1"/>
    </xf>
    <xf numFmtId="0" fontId="54" fillId="0" borderId="0" xfId="0" applyFont="1" applyBorder="1"/>
    <xf numFmtId="0" fontId="1" fillId="0" borderId="0" xfId="0" applyFont="1" applyFill="1" applyBorder="1" applyAlignment="1">
      <alignment horizontal="left"/>
    </xf>
    <xf numFmtId="0" fontId="1" fillId="0" borderId="0" xfId="0" applyFont="1" applyBorder="1" applyAlignment="1">
      <alignment horizontal="left"/>
    </xf>
    <xf numFmtId="0" fontId="1" fillId="0" borderId="122" xfId="0" applyFont="1" applyBorder="1" applyAlignment="1">
      <alignment horizontal="center"/>
    </xf>
    <xf numFmtId="0" fontId="1" fillId="0" borderId="0" xfId="0" applyFont="1" applyFill="1" applyBorder="1" applyAlignment="1">
      <alignment horizontal="center"/>
    </xf>
    <xf numFmtId="0" fontId="1" fillId="0" borderId="122" xfId="0" applyFont="1" applyBorder="1"/>
    <xf numFmtId="0" fontId="1" fillId="0" borderId="123" xfId="0" applyFont="1" applyBorder="1"/>
    <xf numFmtId="0" fontId="1" fillId="0" borderId="123" xfId="0" applyFont="1" applyFill="1" applyBorder="1" applyAlignment="1">
      <alignment horizontal="left"/>
    </xf>
    <xf numFmtId="0" fontId="1" fillId="0" borderId="0" xfId="0" applyFont="1" applyFill="1" applyBorder="1" applyAlignment="1"/>
    <xf numFmtId="0" fontId="1" fillId="0" borderId="124" xfId="0" applyFont="1" applyBorder="1" applyAlignment="1">
      <alignment horizontal="center"/>
    </xf>
    <xf numFmtId="41" fontId="1" fillId="0" borderId="125" xfId="0" applyNumberFormat="1" applyFont="1" applyFill="1" applyBorder="1" applyAlignment="1">
      <alignment horizontal="left"/>
    </xf>
    <xf numFmtId="9" fontId="1" fillId="0" borderId="129" xfId="42" applyFont="1" applyBorder="1" applyProtection="1">
      <protection hidden="1"/>
    </xf>
    <xf numFmtId="0" fontId="1" fillId="0" borderId="124" xfId="0" applyFont="1" applyBorder="1"/>
    <xf numFmtId="41" fontId="1" fillId="41" borderId="152" xfId="0" applyNumberFormat="1" applyFont="1" applyFill="1" applyBorder="1" applyAlignment="1">
      <alignment horizontal="center"/>
    </xf>
    <xf numFmtId="9" fontId="1" fillId="41" borderId="153" xfId="42" applyFont="1" applyFill="1" applyBorder="1" applyAlignment="1">
      <alignment horizontal="left"/>
    </xf>
    <xf numFmtId="0" fontId="1" fillId="0" borderId="130" xfId="0" applyFont="1" applyBorder="1"/>
    <xf numFmtId="41" fontId="1" fillId="41" borderId="154" xfId="0" applyNumberFormat="1" applyFont="1" applyFill="1" applyBorder="1" applyAlignment="1">
      <alignment horizontal="center"/>
    </xf>
    <xf numFmtId="9" fontId="1" fillId="41" borderId="155" xfId="42" applyFont="1" applyFill="1" applyBorder="1" applyAlignment="1">
      <alignment horizontal="left"/>
    </xf>
    <xf numFmtId="41" fontId="1" fillId="41" borderId="156" xfId="0" applyNumberFormat="1" applyFont="1" applyFill="1" applyBorder="1" applyAlignment="1">
      <alignment horizontal="center"/>
    </xf>
    <xf numFmtId="9" fontId="1" fillId="41" borderId="157" xfId="42" applyFont="1" applyFill="1" applyBorder="1" applyAlignment="1">
      <alignment horizontal="left"/>
    </xf>
    <xf numFmtId="0" fontId="1" fillId="0" borderId="130" xfId="0" applyFont="1" applyBorder="1" applyAlignment="1"/>
    <xf numFmtId="0" fontId="1" fillId="0" borderId="0" xfId="0" applyFont="1" applyBorder="1" applyAlignment="1"/>
    <xf numFmtId="0" fontId="1" fillId="0" borderId="0" xfId="0" applyFont="1" applyBorder="1" applyAlignment="1">
      <alignment vertical="top" wrapText="1"/>
    </xf>
    <xf numFmtId="0" fontId="1" fillId="0" borderId="122" xfId="0" applyFont="1" applyBorder="1" applyAlignment="1">
      <alignment horizontal="center" vertical="top" wrapText="1"/>
    </xf>
    <xf numFmtId="0" fontId="1" fillId="0" borderId="124" xfId="0" applyFont="1" applyBorder="1" applyAlignment="1">
      <alignment horizontal="center" vertical="top" wrapText="1"/>
    </xf>
    <xf numFmtId="0" fontId="1" fillId="0" borderId="122" xfId="0" applyFont="1" applyBorder="1" applyAlignment="1" applyProtection="1">
      <alignment horizontal="center"/>
      <protection hidden="1"/>
    </xf>
    <xf numFmtId="0" fontId="1" fillId="0" borderId="129" xfId="0" applyFont="1" applyBorder="1"/>
    <xf numFmtId="0" fontId="1" fillId="0" borderId="158" xfId="0" applyFont="1" applyBorder="1"/>
    <xf numFmtId="0" fontId="1" fillId="0" borderId="159" xfId="0" applyFont="1" applyBorder="1"/>
    <xf numFmtId="9" fontId="1" fillId="41" borderId="152" xfId="42" applyFont="1" applyFill="1" applyBorder="1" applyAlignment="1">
      <alignment horizontal="left"/>
    </xf>
    <xf numFmtId="41" fontId="1" fillId="41" borderId="153" xfId="0" applyNumberFormat="1" applyFont="1" applyFill="1" applyBorder="1" applyAlignment="1">
      <alignment horizontal="center"/>
    </xf>
    <xf numFmtId="9" fontId="1" fillId="41" borderId="154" xfId="42" applyFont="1" applyFill="1" applyBorder="1" applyAlignment="1">
      <alignment horizontal="left"/>
    </xf>
    <xf numFmtId="41" fontId="1" fillId="41" borderId="155" xfId="0" applyNumberFormat="1" applyFont="1" applyFill="1" applyBorder="1" applyAlignment="1">
      <alignment horizontal="center"/>
    </xf>
    <xf numFmtId="9" fontId="1" fillId="41" borderId="156" xfId="42" applyFont="1" applyFill="1" applyBorder="1" applyAlignment="1">
      <alignment horizontal="left"/>
    </xf>
    <xf numFmtId="41" fontId="1" fillId="41" borderId="157" xfId="0" applyNumberFormat="1" applyFont="1" applyFill="1" applyBorder="1" applyAlignment="1">
      <alignment horizontal="center"/>
    </xf>
    <xf numFmtId="41" fontId="1" fillId="41" borderId="141" xfId="0" applyNumberFormat="1" applyFont="1" applyFill="1" applyBorder="1" applyAlignment="1">
      <alignment horizontal="center"/>
    </xf>
    <xf numFmtId="9" fontId="1" fillId="41" borderId="129" xfId="42" applyFont="1" applyFill="1" applyBorder="1" applyAlignment="1">
      <alignment horizontal="left"/>
    </xf>
    <xf numFmtId="41" fontId="1" fillId="41" borderId="143" xfId="0" applyNumberFormat="1" applyFont="1" applyFill="1" applyBorder="1" applyAlignment="1">
      <alignment horizontal="center"/>
    </xf>
    <xf numFmtId="41" fontId="1" fillId="41" borderId="145" xfId="0" applyNumberFormat="1" applyFont="1" applyFill="1" applyBorder="1" applyAlignment="1">
      <alignment horizontal="center"/>
    </xf>
    <xf numFmtId="0" fontId="1" fillId="0" borderId="113" xfId="0" applyFont="1" applyBorder="1"/>
    <xf numFmtId="9" fontId="5" fillId="28" borderId="122" xfId="42" applyFont="1" applyFill="1" applyBorder="1" applyProtection="1">
      <protection hidden="1"/>
    </xf>
    <xf numFmtId="0" fontId="0" fillId="0" borderId="159" xfId="0" applyBorder="1" applyAlignment="1" applyProtection="1">
      <alignment horizontal="center"/>
      <protection hidden="1"/>
    </xf>
    <xf numFmtId="0" fontId="0" fillId="0" borderId="122" xfId="0" applyNumberFormat="1" applyBorder="1" applyProtection="1">
      <protection hidden="1"/>
    </xf>
    <xf numFmtId="0" fontId="5" fillId="36" borderId="122" xfId="0" applyFont="1" applyFill="1" applyBorder="1" applyProtection="1">
      <protection locked="0"/>
    </xf>
    <xf numFmtId="0" fontId="10" fillId="0" borderId="122" xfId="0" applyFont="1" applyBorder="1" applyProtection="1">
      <protection hidden="1"/>
    </xf>
    <xf numFmtId="0" fontId="4" fillId="0" borderId="122" xfId="0" applyFont="1" applyBorder="1" applyProtection="1">
      <protection hidden="1"/>
    </xf>
    <xf numFmtId="165" fontId="0" fillId="0" borderId="122" xfId="0" applyNumberFormat="1" applyBorder="1" applyProtection="1">
      <protection hidden="1"/>
    </xf>
    <xf numFmtId="0" fontId="0" fillId="0" borderId="123" xfId="0" applyBorder="1" applyAlignment="1" applyProtection="1">
      <alignment horizontal="center"/>
      <protection hidden="1"/>
    </xf>
    <xf numFmtId="0" fontId="0" fillId="0" borderId="124" xfId="0" applyBorder="1" applyAlignment="1" applyProtection="1">
      <alignment horizontal="center"/>
      <protection hidden="1"/>
    </xf>
    <xf numFmtId="0" fontId="0" fillId="0" borderId="160" xfId="0" applyBorder="1" applyProtection="1">
      <protection hidden="1"/>
    </xf>
    <xf numFmtId="178" fontId="0" fillId="0" borderId="122" xfId="0" applyNumberFormat="1" applyBorder="1" applyProtection="1">
      <protection hidden="1"/>
    </xf>
    <xf numFmtId="179" fontId="0" fillId="0" borderId="161" xfId="0" applyNumberFormat="1" applyBorder="1" applyProtection="1">
      <protection hidden="1"/>
    </xf>
    <xf numFmtId="0" fontId="0" fillId="0" borderId="162" xfId="0" applyBorder="1" applyProtection="1">
      <protection hidden="1"/>
    </xf>
    <xf numFmtId="0" fontId="0" fillId="0" borderId="163" xfId="0" applyBorder="1" applyProtection="1">
      <protection hidden="1"/>
    </xf>
    <xf numFmtId="10" fontId="0" fillId="0" borderId="163" xfId="0" applyNumberFormat="1" applyBorder="1" applyProtection="1">
      <protection hidden="1"/>
    </xf>
    <xf numFmtId="10" fontId="0" fillId="0" borderId="164" xfId="0" applyNumberFormat="1" applyBorder="1" applyProtection="1">
      <protection hidden="1"/>
    </xf>
    <xf numFmtId="0" fontId="0" fillId="0" borderId="113" xfId="0" applyBorder="1" applyProtection="1">
      <protection hidden="1"/>
    </xf>
    <xf numFmtId="0" fontId="0" fillId="0" borderId="123" xfId="0" applyBorder="1" applyProtection="1">
      <protection hidden="1"/>
    </xf>
    <xf numFmtId="176" fontId="0" fillId="0" borderId="122" xfId="0" applyNumberFormat="1" applyBorder="1" applyProtection="1">
      <protection hidden="1"/>
    </xf>
    <xf numFmtId="176" fontId="0" fillId="0" borderId="161" xfId="0" applyNumberFormat="1" applyBorder="1" applyProtection="1">
      <protection hidden="1"/>
    </xf>
    <xf numFmtId="0" fontId="0" fillId="0" borderId="161" xfId="0" applyBorder="1" applyProtection="1">
      <protection hidden="1"/>
    </xf>
    <xf numFmtId="0" fontId="0" fillId="0" borderId="0" xfId="0" applyBorder="1" applyAlignment="1" applyProtection="1">
      <alignment vertical="center" wrapText="1"/>
      <protection hidden="1"/>
    </xf>
    <xf numFmtId="0" fontId="0" fillId="0" borderId="130" xfId="0" applyBorder="1" applyProtection="1">
      <protection hidden="1"/>
    </xf>
    <xf numFmtId="0" fontId="0" fillId="42" borderId="0" xfId="0" applyFill="1"/>
    <xf numFmtId="168" fontId="0" fillId="0" borderId="0" xfId="0" applyNumberFormat="1"/>
    <xf numFmtId="173" fontId="0" fillId="42" borderId="0" xfId="0" applyNumberFormat="1" applyFill="1"/>
    <xf numFmtId="173" fontId="0" fillId="0" borderId="0" xfId="0" applyNumberFormat="1"/>
    <xf numFmtId="9" fontId="1" fillId="0" borderId="0" xfId="42"/>
    <xf numFmtId="0" fontId="55" fillId="0" borderId="0" xfId="0" applyFont="1" applyBorder="1" applyAlignment="1" applyProtection="1">
      <alignment horizontal="center"/>
      <protection hidden="1"/>
    </xf>
    <xf numFmtId="0" fontId="56" fillId="0" borderId="0" xfId="0" applyFont="1" applyBorder="1" applyAlignment="1">
      <alignment horizontal="center"/>
    </xf>
    <xf numFmtId="0" fontId="0" fillId="0" borderId="35" xfId="0" applyBorder="1" applyAlignment="1" applyProtection="1">
      <protection hidden="1"/>
    </xf>
    <xf numFmtId="0" fontId="26" fillId="0" borderId="0" xfId="0" applyFont="1" applyAlignment="1" applyProtection="1">
      <protection hidden="1"/>
    </xf>
    <xf numFmtId="0" fontId="0" fillId="0" borderId="35" xfId="0" applyBorder="1" applyAlignment="1"/>
    <xf numFmtId="0" fontId="1" fillId="0" borderId="35" xfId="0" applyFont="1" applyBorder="1"/>
    <xf numFmtId="0" fontId="26" fillId="0" borderId="0" xfId="0" applyFont="1" applyFill="1" applyBorder="1" applyAlignment="1" applyProtection="1">
      <alignment horizontal="center"/>
      <protection hidden="1"/>
    </xf>
    <xf numFmtId="0" fontId="46" fillId="0" borderId="0" xfId="0" applyFont="1" applyFill="1" applyBorder="1" applyAlignment="1" applyProtection="1">
      <alignment horizontal="center"/>
      <protection hidden="1"/>
    </xf>
    <xf numFmtId="0" fontId="0" fillId="0" borderId="0" xfId="0" applyAlignment="1" applyProtection="1">
      <alignment horizontal="left" vertical="top"/>
      <protection hidden="1"/>
    </xf>
    <xf numFmtId="0" fontId="4" fillId="0" borderId="0" xfId="0" applyFont="1" applyAlignment="1" applyProtection="1">
      <alignment horizontal="left" vertical="top"/>
      <protection hidden="1"/>
    </xf>
    <xf numFmtId="0" fontId="5" fillId="36" borderId="125" xfId="0" applyFont="1" applyFill="1" applyBorder="1" applyProtection="1">
      <protection locked="0"/>
    </xf>
    <xf numFmtId="41" fontId="13" fillId="36" borderId="125" xfId="0" applyNumberFormat="1" applyFont="1" applyFill="1" applyBorder="1" applyAlignment="1" applyProtection="1">
      <alignment horizontal="left"/>
      <protection locked="0"/>
    </xf>
    <xf numFmtId="0" fontId="5" fillId="36" borderId="127" xfId="0" applyFont="1" applyFill="1" applyBorder="1" applyAlignment="1" applyProtection="1">
      <protection locked="0"/>
    </xf>
    <xf numFmtId="41" fontId="5" fillId="36" borderId="125" xfId="0" applyNumberFormat="1" applyFont="1" applyFill="1" applyBorder="1" applyAlignment="1" applyProtection="1">
      <alignment horizontal="center"/>
      <protection locked="0"/>
    </xf>
    <xf numFmtId="0" fontId="5" fillId="36" borderId="128" xfId="0" quotePrefix="1" applyFont="1" applyFill="1" applyBorder="1" applyProtection="1">
      <protection locked="0"/>
    </xf>
    <xf numFmtId="0" fontId="0" fillId="0" borderId="0" xfId="0" applyBorder="1" applyAlignment="1" applyProtection="1">
      <alignment vertical="top"/>
      <protection locked="0"/>
    </xf>
    <xf numFmtId="0" fontId="10" fillId="0" borderId="0" xfId="0" applyFont="1" applyAlignment="1">
      <alignment vertical="top"/>
    </xf>
    <xf numFmtId="0" fontId="10" fillId="0" borderId="0" xfId="0" quotePrefix="1" applyFont="1" applyAlignment="1">
      <alignment vertical="top"/>
    </xf>
    <xf numFmtId="0" fontId="59" fillId="0" borderId="122" xfId="0" applyFont="1" applyBorder="1" applyProtection="1">
      <protection hidden="1"/>
    </xf>
    <xf numFmtId="0" fontId="1" fillId="42" borderId="122" xfId="0" applyFont="1" applyFill="1" applyBorder="1" applyAlignment="1" applyProtection="1">
      <alignment horizontal="right"/>
      <protection locked="0"/>
    </xf>
    <xf numFmtId="10" fontId="1" fillId="42" borderId="163" xfId="0" applyNumberFormat="1" applyFont="1" applyFill="1" applyBorder="1" applyProtection="1">
      <protection locked="0"/>
    </xf>
    <xf numFmtId="10" fontId="1" fillId="42" borderId="164" xfId="0" applyNumberFormat="1" applyFont="1" applyFill="1" applyBorder="1" applyProtection="1">
      <protection locked="0"/>
    </xf>
    <xf numFmtId="0" fontId="0" fillId="43" borderId="160" xfId="0" applyFill="1" applyBorder="1" applyAlignment="1" applyProtection="1">
      <protection locked="0"/>
    </xf>
    <xf numFmtId="0" fontId="0" fillId="43" borderId="122" xfId="0" applyFill="1" applyBorder="1" applyAlignment="1" applyProtection="1">
      <protection locked="0"/>
    </xf>
    <xf numFmtId="0" fontId="10" fillId="43" borderId="122" xfId="0" applyFont="1" applyFill="1" applyBorder="1" applyProtection="1">
      <protection locked="0"/>
    </xf>
    <xf numFmtId="0" fontId="0" fillId="43" borderId="122" xfId="0" applyFill="1" applyBorder="1" applyProtection="1">
      <protection locked="0"/>
    </xf>
    <xf numFmtId="0" fontId="0" fillId="43" borderId="161" xfId="0" applyFill="1" applyBorder="1" applyProtection="1">
      <protection locked="0"/>
    </xf>
    <xf numFmtId="0" fontId="0" fillId="43" borderId="162" xfId="0" applyFill="1" applyBorder="1" applyAlignment="1" applyProtection="1">
      <protection locked="0"/>
    </xf>
    <xf numFmtId="0" fontId="0" fillId="43" borderId="163" xfId="0" applyFill="1" applyBorder="1" applyAlignment="1" applyProtection="1">
      <protection locked="0"/>
    </xf>
    <xf numFmtId="0" fontId="0" fillId="43" borderId="163" xfId="0" applyFill="1" applyBorder="1" applyProtection="1">
      <protection locked="0"/>
    </xf>
    <xf numFmtId="0" fontId="0" fillId="43" borderId="164" xfId="0" applyFill="1" applyBorder="1" applyProtection="1">
      <protection locked="0"/>
    </xf>
    <xf numFmtId="0" fontId="0" fillId="0" borderId="0" xfId="0" applyAlignment="1">
      <alignment horizontal="center"/>
    </xf>
    <xf numFmtId="0" fontId="0" fillId="0" borderId="0" xfId="0" applyNumberFormat="1" applyFill="1" applyProtection="1">
      <protection hidden="1"/>
    </xf>
    <xf numFmtId="0" fontId="6" fillId="0" borderId="0" xfId="35" applyAlignment="1" applyProtection="1">
      <alignment horizontal="center"/>
    </xf>
    <xf numFmtId="0" fontId="12" fillId="0" borderId="36" xfId="35" applyFont="1" applyFill="1" applyBorder="1" applyAlignment="1" applyProtection="1">
      <alignment horizontal="center" textRotation="90"/>
    </xf>
    <xf numFmtId="0" fontId="6" fillId="0" borderId="0" xfId="35" applyFont="1" applyAlignment="1" applyProtection="1"/>
    <xf numFmtId="0" fontId="57" fillId="0" borderId="0" xfId="35" applyFont="1" applyFill="1" applyBorder="1" applyAlignment="1" applyProtection="1">
      <protection hidden="1"/>
    </xf>
    <xf numFmtId="0" fontId="55" fillId="0" borderId="0" xfId="0" applyFont="1" applyAlignment="1">
      <alignment horizontal="center"/>
    </xf>
    <xf numFmtId="0" fontId="0" fillId="0" borderId="122" xfId="0" quotePrefix="1" applyBorder="1" applyAlignment="1">
      <alignment vertical="top"/>
    </xf>
    <xf numFmtId="0" fontId="49" fillId="0" borderId="122" xfId="0" applyFont="1" applyBorder="1" applyAlignment="1"/>
    <xf numFmtId="0" fontId="5" fillId="36" borderId="127" xfId="0" applyFont="1" applyFill="1" applyBorder="1" applyProtection="1">
      <protection locked="0"/>
    </xf>
    <xf numFmtId="0" fontId="0" fillId="0" borderId="122" xfId="0" applyBorder="1" applyAlignment="1">
      <alignment horizontal="right"/>
    </xf>
    <xf numFmtId="0" fontId="0" fillId="0" borderId="123" xfId="0" applyBorder="1" applyAlignment="1">
      <alignment horizontal="right"/>
    </xf>
    <xf numFmtId="0" fontId="0" fillId="0" borderId="165" xfId="0" applyBorder="1"/>
    <xf numFmtId="0" fontId="5" fillId="36" borderId="165" xfId="0" applyFont="1" applyFill="1" applyBorder="1" applyProtection="1">
      <protection locked="0"/>
    </xf>
    <xf numFmtId="0" fontId="0" fillId="0" borderId="159" xfId="0" applyBorder="1" applyProtection="1">
      <protection hidden="1"/>
    </xf>
    <xf numFmtId="0" fontId="0" fillId="0" borderId="135" xfId="0" applyBorder="1" applyProtection="1">
      <protection hidden="1"/>
    </xf>
    <xf numFmtId="0" fontId="0" fillId="0" borderId="127" xfId="0" applyBorder="1" applyProtection="1">
      <protection hidden="1"/>
    </xf>
    <xf numFmtId="0" fontId="0" fillId="0" borderId="133" xfId="0" applyBorder="1" applyProtection="1">
      <protection hidden="1"/>
    </xf>
    <xf numFmtId="0" fontId="0" fillId="0" borderId="124" xfId="0" applyBorder="1" applyProtection="1">
      <protection hidden="1"/>
    </xf>
    <xf numFmtId="0" fontId="0" fillId="0" borderId="125" xfId="0" applyBorder="1" applyProtection="1">
      <protection hidden="1"/>
    </xf>
    <xf numFmtId="0" fontId="0" fillId="0" borderId="132" xfId="0" applyBorder="1" applyProtection="1">
      <protection hidden="1"/>
    </xf>
    <xf numFmtId="0" fontId="0" fillId="0" borderId="134" xfId="0" applyBorder="1" applyProtection="1">
      <protection hidden="1"/>
    </xf>
    <xf numFmtId="0" fontId="0" fillId="0" borderId="137" xfId="0" applyBorder="1" applyProtection="1">
      <protection hidden="1"/>
    </xf>
    <xf numFmtId="0" fontId="0" fillId="0" borderId="166" xfId="0" applyBorder="1" applyAlignment="1" applyProtection="1">
      <alignment horizontal="center"/>
      <protection hidden="1"/>
    </xf>
    <xf numFmtId="0" fontId="0" fillId="0" borderId="127" xfId="0" applyBorder="1" applyAlignment="1" applyProtection="1">
      <alignment horizontal="center" wrapText="1"/>
      <protection hidden="1"/>
    </xf>
    <xf numFmtId="0" fontId="0" fillId="0" borderId="125" xfId="0" quotePrefix="1" applyBorder="1" applyAlignment="1" applyProtection="1">
      <alignment horizontal="right"/>
      <protection hidden="1"/>
    </xf>
    <xf numFmtId="0" fontId="0" fillId="0" borderId="0" xfId="0" applyAlignment="1" applyProtection="1">
      <alignment horizontal="left"/>
      <protection hidden="1"/>
    </xf>
    <xf numFmtId="0" fontId="1" fillId="0" borderId="129" xfId="0" quotePrefix="1" applyFont="1" applyBorder="1" applyProtection="1">
      <protection hidden="1"/>
    </xf>
    <xf numFmtId="0" fontId="0" fillId="0" borderId="0" xfId="0" applyFill="1" applyBorder="1" applyAlignment="1" applyProtection="1">
      <alignment horizontal="left"/>
      <protection hidden="1"/>
    </xf>
    <xf numFmtId="49" fontId="0" fillId="0" borderId="0" xfId="0" applyNumberFormat="1" applyFill="1" applyBorder="1" applyAlignment="1" applyProtection="1">
      <alignment horizontal="left"/>
      <protection hidden="1"/>
    </xf>
    <xf numFmtId="49" fontId="0" fillId="0" borderId="35" xfId="0" applyNumberFormat="1" applyFill="1" applyBorder="1" applyAlignment="1" applyProtection="1">
      <alignment horizontal="left"/>
      <protection hidden="1"/>
    </xf>
    <xf numFmtId="0" fontId="0" fillId="0" borderId="35" xfId="0" applyFill="1" applyBorder="1" applyAlignment="1" applyProtection="1">
      <alignment horizontal="left"/>
      <protection hidden="1"/>
    </xf>
    <xf numFmtId="0" fontId="6" fillId="0" borderId="0" xfId="35" applyAlignment="1" applyProtection="1">
      <alignment horizontal="left"/>
    </xf>
    <xf numFmtId="0" fontId="0" fillId="0" borderId="0" xfId="0" applyNumberFormat="1" applyBorder="1" applyAlignment="1"/>
    <xf numFmtId="0" fontId="10" fillId="0" borderId="122" xfId="0" quotePrefix="1" applyFont="1" applyBorder="1" applyProtection="1">
      <protection hidden="1"/>
    </xf>
    <xf numFmtId="9" fontId="10" fillId="0" borderId="122" xfId="42" quotePrefix="1" applyFont="1" applyBorder="1" applyProtection="1">
      <protection hidden="1"/>
    </xf>
    <xf numFmtId="0" fontId="1" fillId="0" borderId="122" xfId="0" quotePrefix="1" applyFont="1" applyBorder="1" applyAlignment="1" applyProtection="1">
      <protection hidden="1"/>
    </xf>
    <xf numFmtId="0" fontId="0" fillId="0" borderId="122" xfId="0" quotePrefix="1" applyBorder="1" applyAlignment="1" applyProtection="1">
      <protection hidden="1"/>
    </xf>
    <xf numFmtId="0" fontId="1" fillId="0" borderId="122" xfId="0" quotePrefix="1" applyFont="1" applyBorder="1" applyAlignment="1" applyProtection="1">
      <alignment vertical="top"/>
      <protection hidden="1"/>
    </xf>
    <xf numFmtId="0" fontId="10" fillId="0" borderId="0" xfId="0" applyFont="1" applyAlignment="1">
      <alignment horizontal="center"/>
    </xf>
    <xf numFmtId="0" fontId="10" fillId="0" borderId="0" xfId="0" applyFont="1" applyAlignment="1">
      <alignment horizontal="left"/>
    </xf>
    <xf numFmtId="0" fontId="0" fillId="0" borderId="35" xfId="0" applyBorder="1" applyAlignment="1">
      <alignment horizontal="right"/>
    </xf>
    <xf numFmtId="0" fontId="10" fillId="0" borderId="0" xfId="0" applyFont="1" applyAlignment="1">
      <alignment horizontal="right"/>
    </xf>
    <xf numFmtId="0" fontId="6" fillId="0" borderId="0" xfId="35" applyAlignment="1" applyProtection="1">
      <alignment horizontal="right"/>
    </xf>
    <xf numFmtId="0" fontId="55" fillId="0" borderId="0" xfId="0" applyFont="1" applyAlignment="1">
      <alignment horizontal="right"/>
    </xf>
    <xf numFmtId="0" fontId="0" fillId="0" borderId="0" xfId="0" applyAlignment="1">
      <alignment horizontal="left"/>
    </xf>
    <xf numFmtId="0" fontId="0" fillId="0" borderId="35" xfId="0" applyBorder="1" applyAlignment="1">
      <alignment horizontal="left"/>
    </xf>
    <xf numFmtId="0" fontId="55" fillId="0" borderId="0" xfId="0" applyFont="1" applyAlignment="1">
      <alignment horizontal="left"/>
    </xf>
    <xf numFmtId="0" fontId="0" fillId="0" borderId="138" xfId="0" applyBorder="1" applyProtection="1">
      <protection hidden="1"/>
    </xf>
    <xf numFmtId="0" fontId="0" fillId="0" borderId="167" xfId="0" applyBorder="1" applyProtection="1">
      <protection hidden="1"/>
    </xf>
    <xf numFmtId="0" fontId="0" fillId="0" borderId="168" xfId="0" applyBorder="1" applyProtection="1">
      <protection hidden="1"/>
    </xf>
    <xf numFmtId="0" fontId="0" fillId="0" borderId="169" xfId="0" applyBorder="1" applyProtection="1">
      <protection hidden="1"/>
    </xf>
    <xf numFmtId="0" fontId="0" fillId="0" borderId="126" xfId="0" applyBorder="1" applyProtection="1">
      <protection hidden="1"/>
    </xf>
    <xf numFmtId="0" fontId="0" fillId="0" borderId="165" xfId="0" applyBorder="1" applyProtection="1">
      <protection hidden="1"/>
    </xf>
    <xf numFmtId="0" fontId="0" fillId="0" borderId="139" xfId="0" applyBorder="1" applyProtection="1">
      <protection hidden="1"/>
    </xf>
    <xf numFmtId="9" fontId="0" fillId="0" borderId="122" xfId="0" applyNumberFormat="1" applyBorder="1" applyProtection="1">
      <protection hidden="1"/>
    </xf>
    <xf numFmtId="3" fontId="0" fillId="0" borderId="122" xfId="0" applyNumberFormat="1" applyBorder="1" applyProtection="1">
      <protection hidden="1"/>
    </xf>
    <xf numFmtId="9" fontId="0" fillId="0" borderId="124" xfId="0" applyNumberFormat="1" applyBorder="1" applyProtection="1">
      <protection hidden="1"/>
    </xf>
    <xf numFmtId="9" fontId="0" fillId="0" borderId="125" xfId="0" applyNumberFormat="1" applyBorder="1" applyProtection="1">
      <protection hidden="1"/>
    </xf>
    <xf numFmtId="3" fontId="0" fillId="0" borderId="124" xfId="0" applyNumberFormat="1" applyBorder="1" applyProtection="1">
      <protection hidden="1"/>
    </xf>
    <xf numFmtId="3" fontId="0" fillId="0" borderId="127" xfId="0" applyNumberFormat="1" applyBorder="1" applyProtection="1">
      <protection hidden="1"/>
    </xf>
    <xf numFmtId="9" fontId="0" fillId="0" borderId="128" xfId="0" applyNumberFormat="1" applyBorder="1" applyProtection="1">
      <protection hidden="1"/>
    </xf>
    <xf numFmtId="0" fontId="0" fillId="0" borderId="170" xfId="0" applyBorder="1" applyProtection="1">
      <protection hidden="1"/>
    </xf>
    <xf numFmtId="0" fontId="0" fillId="0" borderId="170" xfId="0" applyBorder="1"/>
    <xf numFmtId="0" fontId="0" fillId="0" borderId="171" xfId="0" applyBorder="1"/>
    <xf numFmtId="0" fontId="0" fillId="0" borderId="172" xfId="0" applyBorder="1"/>
    <xf numFmtId="0" fontId="0" fillId="0" borderId="171" xfId="0" applyBorder="1" applyProtection="1">
      <protection hidden="1"/>
    </xf>
    <xf numFmtId="0" fontId="0" fillId="0" borderId="173" xfId="0" applyBorder="1"/>
    <xf numFmtId="0" fontId="0" fillId="0" borderId="140" xfId="0" applyBorder="1" applyProtection="1">
      <protection hidden="1"/>
    </xf>
    <xf numFmtId="0" fontId="0" fillId="0" borderId="172" xfId="0" applyBorder="1" applyProtection="1">
      <protection hidden="1"/>
    </xf>
    <xf numFmtId="0" fontId="0" fillId="0" borderId="174" xfId="0" applyBorder="1" applyProtection="1">
      <protection hidden="1"/>
    </xf>
    <xf numFmtId="0" fontId="0" fillId="0" borderId="175" xfId="0" quotePrefix="1" applyBorder="1" applyProtection="1">
      <protection hidden="1"/>
    </xf>
    <xf numFmtId="0" fontId="0" fillId="0" borderId="176" xfId="0" applyBorder="1" applyProtection="1">
      <protection hidden="1"/>
    </xf>
    <xf numFmtId="0" fontId="0" fillId="0" borderId="177" xfId="0" quotePrefix="1" applyBorder="1" applyAlignment="1" applyProtection="1">
      <alignment horizontal="right"/>
    </xf>
    <xf numFmtId="0" fontId="1" fillId="0" borderId="122" xfId="0" applyFont="1" applyFill="1" applyBorder="1" applyAlignment="1">
      <alignment horizontal="left"/>
    </xf>
    <xf numFmtId="0" fontId="1" fillId="0" borderId="122" xfId="0" applyFont="1" applyBorder="1" applyAlignment="1"/>
    <xf numFmtId="0" fontId="0" fillId="0" borderId="175" xfId="0" applyBorder="1"/>
    <xf numFmtId="0" fontId="1" fillId="0" borderId="122" xfId="0" applyFont="1" applyFill="1" applyBorder="1" applyAlignment="1"/>
    <xf numFmtId="9" fontId="5" fillId="28" borderId="122" xfId="42" applyFont="1" applyFill="1" applyBorder="1" applyAlignment="1" applyProtection="1">
      <protection hidden="1"/>
    </xf>
    <xf numFmtId="176" fontId="0" fillId="0" borderId="122" xfId="0" applyNumberFormat="1" applyBorder="1" applyAlignment="1">
      <alignment vertical="center"/>
    </xf>
    <xf numFmtId="0" fontId="0" fillId="0" borderId="122" xfId="0" applyBorder="1" applyAlignment="1">
      <alignment vertical="center" textRotation="90"/>
    </xf>
    <xf numFmtId="0" fontId="0" fillId="26" borderId="122" xfId="0" applyFill="1" applyBorder="1" applyAlignment="1"/>
    <xf numFmtId="0" fontId="0" fillId="27" borderId="123" xfId="0" applyFill="1" applyBorder="1" applyAlignment="1"/>
    <xf numFmtId="172" fontId="5" fillId="28" borderId="122" xfId="0" applyNumberFormat="1" applyFont="1" applyFill="1" applyBorder="1" applyAlignment="1" applyProtection="1">
      <protection hidden="1"/>
    </xf>
    <xf numFmtId="0" fontId="0" fillId="0" borderId="130" xfId="0" applyFill="1" applyBorder="1" applyAlignment="1"/>
    <xf numFmtId="176" fontId="0" fillId="0" borderId="124" xfId="0" applyNumberFormat="1" applyBorder="1" applyAlignment="1">
      <alignment vertical="center"/>
    </xf>
    <xf numFmtId="0" fontId="0" fillId="27" borderId="129" xfId="0" applyFill="1" applyBorder="1" applyAlignment="1">
      <alignment vertical="center" textRotation="90"/>
    </xf>
    <xf numFmtId="0" fontId="0" fillId="0" borderId="130" xfId="0" applyFill="1" applyBorder="1" applyAlignment="1">
      <alignment horizontal="center"/>
    </xf>
    <xf numFmtId="17" fontId="0" fillId="0" borderId="122" xfId="0" applyNumberFormat="1" applyBorder="1" applyProtection="1">
      <protection hidden="1"/>
    </xf>
    <xf numFmtId="17" fontId="0" fillId="0" borderId="123" xfId="0" applyNumberFormat="1" applyBorder="1" applyProtection="1">
      <protection hidden="1"/>
    </xf>
    <xf numFmtId="0" fontId="0" fillId="0" borderId="132" xfId="0" applyBorder="1" applyAlignment="1" applyProtection="1">
      <alignment horizontal="center"/>
      <protection hidden="1"/>
    </xf>
    <xf numFmtId="0" fontId="0" fillId="0" borderId="133" xfId="0" applyBorder="1" applyAlignment="1" applyProtection="1">
      <alignment horizontal="center"/>
      <protection hidden="1"/>
    </xf>
    <xf numFmtId="0" fontId="0" fillId="0" borderId="134" xfId="0" applyBorder="1" applyAlignment="1" applyProtection="1">
      <alignment horizontal="center"/>
      <protection hidden="1"/>
    </xf>
    <xf numFmtId="0" fontId="0" fillId="0" borderId="13" xfId="0"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14" xfId="0" applyBorder="1" applyAlignment="1" applyProtection="1">
      <alignment horizontal="right"/>
      <protection hidden="1"/>
    </xf>
    <xf numFmtId="0" fontId="0" fillId="0" borderId="15" xfId="0" applyBorder="1" applyAlignment="1" applyProtection="1">
      <alignment horizontal="right"/>
      <protection hidden="1"/>
    </xf>
    <xf numFmtId="0" fontId="0" fillId="0" borderId="37" xfId="0" applyBorder="1" applyProtection="1">
      <protection hidden="1"/>
    </xf>
    <xf numFmtId="0" fontId="1" fillId="42" borderId="122" xfId="0" applyFont="1" applyFill="1" applyBorder="1" applyProtection="1">
      <protection locked="0"/>
    </xf>
    <xf numFmtId="0" fontId="66" fillId="0" borderId="0" xfId="0" applyFont="1" applyBorder="1" applyAlignment="1">
      <alignment vertical="center"/>
    </xf>
    <xf numFmtId="0" fontId="67" fillId="0" borderId="0" xfId="0" applyFont="1" applyBorder="1" applyAlignment="1" applyProtection="1">
      <protection hidden="1"/>
    </xf>
    <xf numFmtId="0" fontId="0" fillId="0" borderId="178" xfId="0" applyBorder="1" applyProtection="1">
      <protection hidden="1"/>
    </xf>
    <xf numFmtId="0" fontId="0" fillId="0" borderId="154" xfId="0" applyBorder="1" applyAlignment="1" applyProtection="1">
      <alignment horizontal="center"/>
      <protection hidden="1"/>
    </xf>
    <xf numFmtId="0" fontId="0" fillId="0" borderId="152" xfId="0" applyBorder="1" applyAlignment="1" applyProtection="1">
      <alignment horizontal="center"/>
      <protection hidden="1"/>
    </xf>
    <xf numFmtId="0" fontId="0" fillId="0" borderId="153" xfId="0" applyBorder="1" applyProtection="1">
      <protection hidden="1"/>
    </xf>
    <xf numFmtId="0" fontId="0" fillId="0" borderId="155" xfId="0" applyBorder="1" applyProtection="1">
      <protection hidden="1"/>
    </xf>
    <xf numFmtId="0" fontId="0" fillId="0" borderId="156" xfId="0" applyBorder="1" applyAlignment="1" applyProtection="1">
      <alignment horizontal="center"/>
      <protection hidden="1"/>
    </xf>
    <xf numFmtId="0" fontId="0" fillId="0" borderId="179" xfId="0" applyBorder="1" applyProtection="1">
      <protection hidden="1"/>
    </xf>
    <xf numFmtId="0" fontId="0" fillId="0" borderId="157" xfId="0" applyBorder="1" applyProtection="1">
      <protection hidden="1"/>
    </xf>
    <xf numFmtId="0" fontId="1" fillId="0" borderId="129" xfId="0" quotePrefix="1" applyFont="1" applyBorder="1" applyAlignment="1" applyProtection="1">
      <protection hidden="1"/>
    </xf>
    <xf numFmtId="0" fontId="0" fillId="0" borderId="123" xfId="0" applyBorder="1" applyAlignment="1" applyProtection="1">
      <protection hidden="1"/>
    </xf>
    <xf numFmtId="0" fontId="0" fillId="0" borderId="123" xfId="0" applyBorder="1" applyAlignment="1" applyProtection="1">
      <alignment horizontal="center" wrapText="1"/>
      <protection hidden="1"/>
    </xf>
    <xf numFmtId="0" fontId="0" fillId="0" borderId="123" xfId="0" applyBorder="1" applyAlignment="1" applyProtection="1">
      <alignment horizontal="right"/>
      <protection hidden="1"/>
    </xf>
    <xf numFmtId="0" fontId="0" fillId="0" borderId="131" xfId="0" applyBorder="1" applyProtection="1">
      <protection hidden="1"/>
    </xf>
    <xf numFmtId="0" fontId="0" fillId="0" borderId="173" xfId="0" applyBorder="1" applyProtection="1">
      <protection hidden="1"/>
    </xf>
    <xf numFmtId="0" fontId="0" fillId="0" borderId="122" xfId="0" quotePrefix="1" applyBorder="1" applyAlignment="1" applyProtection="1">
      <alignment horizontal="right"/>
    </xf>
    <xf numFmtId="0" fontId="0" fillId="0" borderId="180" xfId="0" applyBorder="1" applyProtection="1"/>
    <xf numFmtId="0" fontId="0" fillId="0" borderId="181" xfId="0" applyBorder="1" applyProtection="1"/>
    <xf numFmtId="0" fontId="0" fillId="0" borderId="182" xfId="0" applyBorder="1" applyProtection="1"/>
    <xf numFmtId="0" fontId="0" fillId="0" borderId="176" xfId="0" applyBorder="1" applyProtection="1"/>
    <xf numFmtId="0" fontId="0" fillId="0" borderId="183" xfId="0" applyBorder="1" applyProtection="1"/>
    <xf numFmtId="0" fontId="0" fillId="0" borderId="122" xfId="0" applyBorder="1" applyProtection="1"/>
    <xf numFmtId="0" fontId="0" fillId="0" borderId="184" xfId="0" applyBorder="1" applyProtection="1"/>
    <xf numFmtId="0" fontId="0" fillId="0" borderId="177" xfId="0" applyBorder="1" applyProtection="1"/>
    <xf numFmtId="0" fontId="0" fillId="0" borderId="185" xfId="0" applyBorder="1" applyProtection="1"/>
    <xf numFmtId="0" fontId="0" fillId="0" borderId="0" xfId="0" applyProtection="1">
      <protection locked="0" hidden="1"/>
    </xf>
    <xf numFmtId="0" fontId="5" fillId="28" borderId="122" xfId="0" applyFont="1" applyFill="1" applyBorder="1" applyAlignment="1" applyProtection="1">
      <alignment horizontal="center"/>
      <protection hidden="1"/>
    </xf>
    <xf numFmtId="0" fontId="69" fillId="0" borderId="0" xfId="35" applyFont="1" applyBorder="1" applyAlignment="1" applyProtection="1">
      <alignment horizontal="center"/>
      <protection hidden="1"/>
    </xf>
    <xf numFmtId="0" fontId="70" fillId="0" borderId="147" xfId="0" applyFont="1" applyBorder="1" applyAlignment="1">
      <alignment horizontal="left" vertical="center" indent="1"/>
    </xf>
    <xf numFmtId="0" fontId="71" fillId="0" borderId="0" xfId="35" applyFont="1" applyFill="1" applyBorder="1" applyAlignment="1" applyProtection="1">
      <protection hidden="1"/>
    </xf>
    <xf numFmtId="0" fontId="6" fillId="0" borderId="0" xfId="35" applyAlignment="1" applyProtection="1">
      <alignment horizontal="left"/>
      <protection hidden="1"/>
    </xf>
    <xf numFmtId="0" fontId="0" fillId="0" borderId="40" xfId="0" applyBorder="1"/>
    <xf numFmtId="0" fontId="11" fillId="0" borderId="39" xfId="0" applyFont="1" applyBorder="1"/>
    <xf numFmtId="0" fontId="11" fillId="0" borderId="38" xfId="0" applyFont="1" applyBorder="1"/>
    <xf numFmtId="0" fontId="5" fillId="0" borderId="0" xfId="0" applyFont="1" applyBorder="1"/>
    <xf numFmtId="0" fontId="0" fillId="0" borderId="122" xfId="0" applyBorder="1" applyAlignment="1" applyProtection="1">
      <alignment horizontal="right"/>
      <protection hidden="1"/>
    </xf>
    <xf numFmtId="0" fontId="46" fillId="0" borderId="122" xfId="0" applyFont="1" applyBorder="1" applyProtection="1">
      <protection hidden="1"/>
    </xf>
    <xf numFmtId="0" fontId="0" fillId="0" borderId="122" xfId="0" quotePrefix="1" applyBorder="1" applyProtection="1">
      <protection hidden="1"/>
    </xf>
    <xf numFmtId="15" fontId="0" fillId="0" borderId="0" xfId="0" applyNumberFormat="1" applyProtection="1">
      <protection hidden="1"/>
    </xf>
    <xf numFmtId="15" fontId="0" fillId="0" borderId="11" xfId="0" applyNumberFormat="1" applyBorder="1" applyProtection="1">
      <protection hidden="1"/>
    </xf>
    <xf numFmtId="15" fontId="0" fillId="0" borderId="12" xfId="0" applyNumberFormat="1" applyBorder="1" applyProtection="1">
      <protection hidden="1"/>
    </xf>
    <xf numFmtId="0" fontId="4" fillId="0" borderId="122" xfId="0" applyFont="1" applyFill="1" applyBorder="1" applyProtection="1">
      <protection hidden="1"/>
    </xf>
    <xf numFmtId="0" fontId="0" fillId="0" borderId="122" xfId="0" applyFill="1" applyBorder="1" applyProtection="1">
      <protection hidden="1"/>
    </xf>
    <xf numFmtId="15" fontId="0" fillId="0" borderId="122" xfId="0" applyNumberFormat="1" applyFill="1" applyBorder="1" applyAlignment="1" applyProtection="1"/>
    <xf numFmtId="15" fontId="0" fillId="0" borderId="122" xfId="0" applyNumberFormat="1" applyFill="1" applyBorder="1" applyAlignment="1" applyProtection="1">
      <alignment horizontal="center"/>
    </xf>
    <xf numFmtId="0" fontId="0" fillId="0" borderId="122" xfId="0" applyFill="1" applyBorder="1" applyAlignment="1" applyProtection="1">
      <alignment horizontal="center"/>
    </xf>
    <xf numFmtId="0" fontId="0" fillId="0" borderId="122" xfId="0" quotePrefix="1" applyFill="1" applyBorder="1" applyProtection="1">
      <protection hidden="1"/>
    </xf>
    <xf numFmtId="0" fontId="46" fillId="0" borderId="129" xfId="0" applyFont="1" applyBorder="1" applyProtection="1">
      <protection hidden="1"/>
    </xf>
    <xf numFmtId="0" fontId="0" fillId="0" borderId="186" xfId="0" applyBorder="1" applyProtection="1">
      <protection hidden="1"/>
    </xf>
    <xf numFmtId="0" fontId="0" fillId="0" borderId="158" xfId="0" applyBorder="1" applyProtection="1">
      <protection hidden="1"/>
    </xf>
    <xf numFmtId="0" fontId="0" fillId="42" borderId="159" xfId="0" applyFill="1" applyBorder="1" applyProtection="1">
      <protection locked="0"/>
    </xf>
    <xf numFmtId="0" fontId="0" fillId="0" borderId="126" xfId="0" applyBorder="1" applyAlignment="1" applyProtection="1">
      <alignment horizontal="left"/>
      <protection hidden="1"/>
    </xf>
    <xf numFmtId="0" fontId="0" fillId="0" borderId="186" xfId="0" applyBorder="1" applyAlignment="1" applyProtection="1">
      <alignment horizontal="left"/>
      <protection hidden="1"/>
    </xf>
    <xf numFmtId="0" fontId="4" fillId="0" borderId="0" xfId="0" applyFont="1" applyBorder="1" applyAlignment="1" applyProtection="1">
      <alignment vertical="top" wrapText="1"/>
      <protection hidden="1"/>
    </xf>
    <xf numFmtId="0" fontId="10" fillId="0" borderId="0" xfId="0" applyFont="1" applyAlignment="1" applyProtection="1">
      <protection hidden="1"/>
    </xf>
    <xf numFmtId="0" fontId="5" fillId="36" borderId="128" xfId="0" applyFont="1" applyFill="1" applyBorder="1" applyProtection="1">
      <protection locked="0"/>
    </xf>
    <xf numFmtId="0" fontId="0" fillId="0" borderId="122" xfId="0" applyBorder="1" applyAlignment="1" applyProtection="1">
      <alignment horizontal="center" wrapText="1"/>
      <protection hidden="1"/>
    </xf>
    <xf numFmtId="0" fontId="1" fillId="0" borderId="113" xfId="0" quotePrefix="1" applyFont="1" applyBorder="1" applyProtection="1">
      <protection hidden="1"/>
    </xf>
    <xf numFmtId="0" fontId="0" fillId="0" borderId="128" xfId="0" applyBorder="1" applyAlignment="1" applyProtection="1">
      <protection hidden="1"/>
    </xf>
    <xf numFmtId="0" fontId="0" fillId="0" borderId="187" xfId="0" applyBorder="1" applyProtection="1">
      <protection hidden="1"/>
    </xf>
    <xf numFmtId="0" fontId="73" fillId="0" borderId="0" xfId="35" applyFont="1" applyBorder="1" applyAlignment="1" applyProtection="1">
      <alignment horizontal="center"/>
      <protection hidden="1"/>
    </xf>
    <xf numFmtId="0" fontId="73" fillId="0" borderId="0" xfId="35" applyFont="1" applyBorder="1" applyAlignment="1" applyProtection="1">
      <alignment horizontal="center"/>
    </xf>
    <xf numFmtId="0" fontId="72" fillId="0" borderId="0" xfId="35" applyFont="1" applyBorder="1" applyAlignment="1" applyProtection="1">
      <alignment horizontal="center"/>
      <protection hidden="1"/>
    </xf>
    <xf numFmtId="0" fontId="72" fillId="0" borderId="0" xfId="35" applyFont="1" applyBorder="1" applyAlignment="1" applyProtection="1">
      <alignment horizontal="center"/>
    </xf>
    <xf numFmtId="0" fontId="4" fillId="0" borderId="0" xfId="0" applyFont="1" applyFill="1" applyBorder="1" applyAlignment="1" applyProtection="1">
      <alignment vertical="top"/>
      <protection hidden="1"/>
    </xf>
    <xf numFmtId="0" fontId="1" fillId="0" borderId="0" xfId="0" applyFont="1" applyFill="1" applyBorder="1" applyAlignment="1" applyProtection="1">
      <alignment horizontal="center" vertical="top" wrapText="1"/>
      <protection hidden="1"/>
    </xf>
    <xf numFmtId="0" fontId="5" fillId="0" borderId="0" xfId="0" applyFont="1" applyFill="1" applyAlignment="1" applyProtection="1">
      <alignment horizontal="left" vertical="top"/>
      <protection hidden="1"/>
    </xf>
    <xf numFmtId="0" fontId="5" fillId="0" borderId="0" xfId="0" applyFont="1" applyFill="1" applyBorder="1" applyProtection="1">
      <protection locked="0" hidden="1"/>
    </xf>
    <xf numFmtId="0" fontId="12" fillId="0" borderId="0" xfId="35" applyFont="1" applyFill="1" applyAlignment="1" applyProtection="1">
      <protection hidden="1"/>
    </xf>
    <xf numFmtId="0" fontId="0" fillId="0" borderId="0" xfId="0" applyFill="1" applyAlignment="1" applyProtection="1">
      <protection hidden="1"/>
    </xf>
    <xf numFmtId="0" fontId="66" fillId="0" borderId="0" xfId="0" applyFont="1" applyBorder="1" applyAlignment="1" applyProtection="1">
      <alignment horizontal="left" vertical="center"/>
      <protection hidden="1"/>
    </xf>
    <xf numFmtId="0" fontId="0" fillId="0" borderId="14" xfId="0" applyBorder="1"/>
    <xf numFmtId="0" fontId="0" fillId="0" borderId="15" xfId="0" applyBorder="1"/>
    <xf numFmtId="0" fontId="0" fillId="0" borderId="11" xfId="0" applyBorder="1"/>
    <xf numFmtId="0" fontId="0" fillId="0" borderId="10" xfId="0" applyBorder="1"/>
    <xf numFmtId="41" fontId="0" fillId="0" borderId="0" xfId="0" applyNumberFormat="1" applyBorder="1" applyAlignment="1"/>
    <xf numFmtId="41" fontId="0" fillId="0" borderId="0" xfId="0" applyNumberFormat="1" applyBorder="1"/>
    <xf numFmtId="0" fontId="0" fillId="0" borderId="16" xfId="0" applyBorder="1"/>
    <xf numFmtId="0" fontId="0" fillId="0" borderId="16" xfId="0" applyNumberFormat="1" applyBorder="1"/>
    <xf numFmtId="0" fontId="0" fillId="0" borderId="17" xfId="0" applyBorder="1"/>
    <xf numFmtId="0" fontId="0" fillId="0" borderId="184" xfId="0" applyBorder="1" applyProtection="1">
      <protection hidden="1"/>
    </xf>
    <xf numFmtId="0" fontId="0" fillId="0" borderId="180" xfId="0" applyBorder="1" applyProtection="1">
      <protection hidden="1"/>
    </xf>
    <xf numFmtId="0" fontId="0" fillId="0" borderId="181" xfId="0" applyBorder="1" applyProtection="1">
      <protection hidden="1"/>
    </xf>
    <xf numFmtId="0" fontId="0" fillId="0" borderId="182" xfId="0" applyBorder="1" applyProtection="1">
      <protection hidden="1"/>
    </xf>
    <xf numFmtId="0" fontId="0" fillId="0" borderId="177" xfId="0" applyBorder="1" applyProtection="1">
      <protection hidden="1"/>
    </xf>
    <xf numFmtId="0" fontId="0" fillId="0" borderId="183" xfId="0" applyBorder="1" applyProtection="1">
      <protection hidden="1"/>
    </xf>
    <xf numFmtId="0" fontId="0" fillId="0" borderId="152" xfId="0" applyBorder="1" applyProtection="1">
      <protection hidden="1"/>
    </xf>
    <xf numFmtId="0" fontId="0" fillId="0" borderId="156" xfId="0" applyBorder="1" applyProtection="1">
      <protection hidden="1"/>
    </xf>
    <xf numFmtId="0" fontId="0" fillId="0" borderId="0" xfId="0" applyFill="1" applyBorder="1"/>
    <xf numFmtId="0" fontId="4" fillId="0" borderId="123" xfId="0" applyFont="1" applyBorder="1" applyProtection="1">
      <protection hidden="1"/>
    </xf>
    <xf numFmtId="0" fontId="0" fillId="0" borderId="185" xfId="0" applyBorder="1" applyProtection="1">
      <protection hidden="1"/>
    </xf>
    <xf numFmtId="0" fontId="0" fillId="0" borderId="188" xfId="0" applyBorder="1" applyProtection="1">
      <protection hidden="1"/>
    </xf>
    <xf numFmtId="0" fontId="0" fillId="0" borderId="189" xfId="0" applyBorder="1" applyProtection="1">
      <protection hidden="1"/>
    </xf>
    <xf numFmtId="0" fontId="0" fillId="0" borderId="190" xfId="0" applyBorder="1" applyProtection="1">
      <protection hidden="1"/>
    </xf>
    <xf numFmtId="0" fontId="68" fillId="0" borderId="0" xfId="0" applyFont="1" applyFill="1" applyBorder="1" applyAlignment="1" applyProtection="1">
      <protection hidden="1"/>
    </xf>
    <xf numFmtId="0" fontId="68" fillId="0" borderId="0" xfId="0" applyFont="1" applyFill="1" applyBorder="1" applyAlignment="1" applyProtection="1">
      <alignment horizontal="left"/>
      <protection hidden="1"/>
    </xf>
    <xf numFmtId="3" fontId="0" fillId="0" borderId="0" xfId="0" applyNumberFormat="1" applyBorder="1"/>
    <xf numFmtId="0" fontId="44" fillId="0" borderId="35" xfId="0" applyFont="1" applyFill="1" applyBorder="1" applyProtection="1">
      <protection hidden="1"/>
    </xf>
    <xf numFmtId="0" fontId="26" fillId="0" borderId="35" xfId="0" applyFont="1" applyFill="1" applyBorder="1" applyProtection="1">
      <protection hidden="1"/>
    </xf>
    <xf numFmtId="0" fontId="26" fillId="0" borderId="35" xfId="0" applyFont="1" applyFill="1" applyBorder="1" applyAlignment="1" applyProtection="1">
      <alignment horizontal="center"/>
      <protection hidden="1"/>
    </xf>
    <xf numFmtId="0" fontId="57" fillId="0" borderId="0" xfId="0" applyFont="1" applyFill="1" applyBorder="1" applyProtection="1">
      <protection hidden="1"/>
    </xf>
    <xf numFmtId="0" fontId="26" fillId="0" borderId="0" xfId="0" applyFont="1" applyFill="1" applyBorder="1" applyAlignment="1" applyProtection="1">
      <alignment horizontal="left"/>
      <protection hidden="1"/>
    </xf>
    <xf numFmtId="0" fontId="10" fillId="0" borderId="0" xfId="0" applyFont="1" applyFill="1" applyBorder="1" applyAlignment="1" applyProtection="1">
      <alignment horizontal="left" vertical="top"/>
      <protection hidden="1"/>
    </xf>
    <xf numFmtId="49" fontId="10" fillId="0" borderId="0" xfId="0" applyNumberFormat="1" applyFont="1" applyFill="1" applyBorder="1" applyAlignment="1" applyProtection="1">
      <alignment horizontal="left" vertical="top"/>
      <protection hidden="1"/>
    </xf>
    <xf numFmtId="49" fontId="10" fillId="0" borderId="0" xfId="0" quotePrefix="1" applyNumberFormat="1" applyFont="1" applyFill="1" applyBorder="1" applyAlignment="1" applyProtection="1">
      <alignment horizontal="center" vertical="top"/>
      <protection hidden="1"/>
    </xf>
    <xf numFmtId="49" fontId="10" fillId="0" borderId="0" xfId="0" applyNumberFormat="1" applyFont="1" applyFill="1" applyBorder="1" applyAlignment="1" applyProtection="1">
      <alignment horizontal="center" vertical="top"/>
      <protection hidden="1"/>
    </xf>
    <xf numFmtId="49" fontId="10" fillId="0" borderId="0" xfId="0" applyNumberFormat="1" applyFont="1" applyFill="1" applyBorder="1" applyAlignment="1" applyProtection="1">
      <alignment vertical="top"/>
      <protection hidden="1"/>
    </xf>
    <xf numFmtId="0" fontId="10" fillId="0" borderId="0" xfId="0" applyFont="1" applyFill="1" applyBorder="1" applyAlignment="1" applyProtection="1">
      <alignment vertical="top"/>
      <protection hidden="1"/>
    </xf>
    <xf numFmtId="0" fontId="10" fillId="0" borderId="0" xfId="0" applyFont="1" applyAlignment="1" applyProtection="1">
      <alignment horizontal="left" vertical="top"/>
      <protection hidden="1"/>
    </xf>
    <xf numFmtId="49" fontId="10" fillId="0" borderId="0" xfId="0" applyNumberFormat="1" applyFont="1" applyFill="1" applyBorder="1" applyAlignment="1" applyProtection="1">
      <alignment horizontal="center"/>
      <protection hidden="1"/>
    </xf>
    <xf numFmtId="49" fontId="10" fillId="0" borderId="0" xfId="0" applyNumberFormat="1" applyFont="1" applyFill="1" applyBorder="1" applyAlignment="1" applyProtection="1">
      <alignment horizontal="left"/>
      <protection hidden="1"/>
    </xf>
    <xf numFmtId="49" fontId="4" fillId="0" borderId="0" xfId="0" applyNumberFormat="1" applyFont="1" applyFill="1" applyBorder="1" applyAlignment="1" applyProtection="1">
      <alignment horizontal="left"/>
      <protection hidden="1"/>
    </xf>
    <xf numFmtId="0" fontId="0" fillId="0" borderId="127" xfId="0" applyBorder="1" applyAlignment="1" applyProtection="1">
      <alignment horizontal="center"/>
      <protection hidden="1"/>
    </xf>
    <xf numFmtId="0" fontId="4" fillId="0" borderId="122" xfId="0" applyNumberFormat="1" applyFont="1" applyBorder="1" applyAlignment="1" applyProtection="1">
      <alignment horizontal="center"/>
      <protection hidden="1"/>
    </xf>
    <xf numFmtId="0" fontId="4" fillId="0" borderId="0" xfId="0" applyNumberFormat="1" applyFont="1" applyFill="1" applyBorder="1" applyAlignment="1" applyProtection="1">
      <alignment horizontal="center"/>
      <protection hidden="1"/>
    </xf>
    <xf numFmtId="0" fontId="0" fillId="0" borderId="130" xfId="0" applyBorder="1" applyAlignment="1" applyProtection="1">
      <alignment horizontal="center"/>
      <protection hidden="1"/>
    </xf>
    <xf numFmtId="0" fontId="0" fillId="0" borderId="125" xfId="0" applyBorder="1" applyAlignment="1" applyProtection="1">
      <protection hidden="1"/>
    </xf>
    <xf numFmtId="0" fontId="0" fillId="0" borderId="130" xfId="0" applyBorder="1" applyAlignment="1" applyProtection="1">
      <protection hidden="1"/>
    </xf>
    <xf numFmtId="0" fontId="0" fillId="0" borderId="191" xfId="0" applyBorder="1" applyProtection="1">
      <protection hidden="1"/>
    </xf>
    <xf numFmtId="0" fontId="0" fillId="0" borderId="192" xfId="0" applyBorder="1" applyProtection="1">
      <protection hidden="1"/>
    </xf>
    <xf numFmtId="0" fontId="0" fillId="0" borderId="193" xfId="0" applyBorder="1" applyProtection="1">
      <protection hidden="1"/>
    </xf>
    <xf numFmtId="15" fontId="0" fillId="0" borderId="167" xfId="0" applyNumberFormat="1" applyBorder="1" applyAlignment="1" applyProtection="1">
      <protection hidden="1"/>
    </xf>
    <xf numFmtId="15" fontId="0" fillId="0" borderId="128" xfId="0" applyNumberFormat="1" applyBorder="1" applyAlignment="1" applyProtection="1">
      <protection hidden="1"/>
    </xf>
    <xf numFmtId="0" fontId="0" fillId="0" borderId="129" xfId="0" applyBorder="1" applyAlignment="1" applyProtection="1">
      <protection hidden="1"/>
    </xf>
    <xf numFmtId="15" fontId="0" fillId="0" borderId="130" xfId="0" applyNumberFormat="1" applyBorder="1" applyAlignment="1" applyProtection="1">
      <protection hidden="1"/>
    </xf>
    <xf numFmtId="15" fontId="0" fillId="0" borderId="122" xfId="0" applyNumberFormat="1" applyBorder="1" applyAlignment="1" applyProtection="1">
      <protection hidden="1"/>
    </xf>
    <xf numFmtId="0" fontId="4" fillId="0" borderId="122" xfId="0" applyFont="1" applyBorder="1" applyAlignment="1" applyProtection="1">
      <alignment horizontal="left"/>
      <protection hidden="1"/>
    </xf>
    <xf numFmtId="0" fontId="0" fillId="0" borderId="124" xfId="0" applyBorder="1" applyAlignment="1" applyProtection="1">
      <alignment horizontal="left"/>
      <protection hidden="1"/>
    </xf>
    <xf numFmtId="15" fontId="0" fillId="0" borderId="194" xfId="0" applyNumberFormat="1" applyBorder="1" applyAlignment="1" applyProtection="1">
      <protection hidden="1"/>
    </xf>
    <xf numFmtId="15" fontId="0" fillId="0" borderId="195" xfId="0" applyNumberFormat="1" applyBorder="1" applyAlignment="1" applyProtection="1">
      <protection hidden="1"/>
    </xf>
    <xf numFmtId="15" fontId="0" fillId="0" borderId="196" xfId="0" applyNumberFormat="1" applyBorder="1" applyAlignment="1" applyProtection="1">
      <protection hidden="1"/>
    </xf>
    <xf numFmtId="0" fontId="0" fillId="0" borderId="171" xfId="0" applyBorder="1" applyAlignment="1" applyProtection="1">
      <alignment horizontal="center"/>
      <protection hidden="1"/>
    </xf>
    <xf numFmtId="0" fontId="0" fillId="0" borderId="175" xfId="0" applyBorder="1" applyAlignment="1" applyProtection="1">
      <alignment horizontal="center"/>
      <protection hidden="1"/>
    </xf>
    <xf numFmtId="0" fontId="0" fillId="0" borderId="175" xfId="0" applyBorder="1" applyAlignment="1" applyProtection="1">
      <protection hidden="1"/>
    </xf>
    <xf numFmtId="0" fontId="0" fillId="0" borderId="172" xfId="0" applyBorder="1" applyAlignment="1" applyProtection="1">
      <protection hidden="1"/>
    </xf>
    <xf numFmtId="0" fontId="0" fillId="0" borderId="197" xfId="0" applyBorder="1" applyProtection="1">
      <protection hidden="1"/>
    </xf>
    <xf numFmtId="0" fontId="0" fillId="0" borderId="198" xfId="0" applyBorder="1" applyProtection="1">
      <protection hidden="1"/>
    </xf>
    <xf numFmtId="0" fontId="0" fillId="0" borderId="141" xfId="0" applyBorder="1" applyProtection="1">
      <protection hidden="1"/>
    </xf>
    <xf numFmtId="0" fontId="0" fillId="0" borderId="143" xfId="0" applyBorder="1" applyProtection="1">
      <protection hidden="1"/>
    </xf>
    <xf numFmtId="0" fontId="0" fillId="0" borderId="145" xfId="0" applyBorder="1" applyProtection="1">
      <protection hidden="1"/>
    </xf>
    <xf numFmtId="0" fontId="0" fillId="0" borderId="142" xfId="0" applyBorder="1" applyProtection="1">
      <protection hidden="1"/>
    </xf>
    <xf numFmtId="0" fontId="0" fillId="0" borderId="144" xfId="0" applyBorder="1" applyProtection="1">
      <protection hidden="1"/>
    </xf>
    <xf numFmtId="0" fontId="0" fillId="0" borderId="146" xfId="0" applyBorder="1" applyProtection="1">
      <protection hidden="1"/>
    </xf>
    <xf numFmtId="0" fontId="0" fillId="0" borderId="199" xfId="0" applyBorder="1" applyProtection="1">
      <protection hidden="1"/>
    </xf>
    <xf numFmtId="0" fontId="0" fillId="0" borderId="200" xfId="0" applyBorder="1" applyProtection="1">
      <protection hidden="1"/>
    </xf>
    <xf numFmtId="0" fontId="0" fillId="0" borderId="201" xfId="0" applyBorder="1" applyProtection="1">
      <protection hidden="1"/>
    </xf>
    <xf numFmtId="0" fontId="0" fillId="0" borderId="129" xfId="0" quotePrefix="1" applyBorder="1" applyProtection="1">
      <protection hidden="1"/>
    </xf>
    <xf numFmtId="0" fontId="0" fillId="0" borderId="202" xfId="0" applyBorder="1" applyProtection="1">
      <protection hidden="1"/>
    </xf>
    <xf numFmtId="0" fontId="0" fillId="0" borderId="203" xfId="0" applyBorder="1" applyProtection="1">
      <protection hidden="1"/>
    </xf>
    <xf numFmtId="0" fontId="0" fillId="0" borderId="204" xfId="0" applyBorder="1" applyProtection="1">
      <protection hidden="1"/>
    </xf>
    <xf numFmtId="0" fontId="0" fillId="0" borderId="122" xfId="0" applyBorder="1" applyAlignment="1" applyProtection="1">
      <alignment horizontal="left" wrapText="1"/>
      <protection hidden="1"/>
    </xf>
    <xf numFmtId="0" fontId="10" fillId="0" borderId="113" xfId="0" applyFont="1" applyFill="1" applyBorder="1" applyProtection="1">
      <protection hidden="1"/>
    </xf>
    <xf numFmtId="0" fontId="10" fillId="0" borderId="122" xfId="0" applyFont="1" applyFill="1" applyBorder="1" applyProtection="1">
      <protection hidden="1"/>
    </xf>
    <xf numFmtId="0" fontId="0" fillId="0" borderId="122" xfId="0" applyFill="1" applyBorder="1" applyAlignment="1" applyProtection="1">
      <alignment horizontal="center"/>
      <protection hidden="1"/>
    </xf>
    <xf numFmtId="0" fontId="0" fillId="0" borderId="124" xfId="0" applyFill="1" applyBorder="1" applyProtection="1">
      <protection hidden="1"/>
    </xf>
    <xf numFmtId="0" fontId="10" fillId="0" borderId="178" xfId="0" applyFont="1" applyFill="1" applyBorder="1" applyProtection="1">
      <protection hidden="1"/>
    </xf>
    <xf numFmtId="0" fontId="0" fillId="0" borderId="130" xfId="0" applyFill="1" applyBorder="1" applyProtection="1">
      <protection hidden="1"/>
    </xf>
    <xf numFmtId="0" fontId="10" fillId="0" borderId="179" xfId="0" applyFont="1" applyFill="1" applyBorder="1" applyProtection="1">
      <protection hidden="1"/>
    </xf>
    <xf numFmtId="0" fontId="10" fillId="0" borderId="153" xfId="0" applyFont="1" applyFill="1" applyBorder="1" applyProtection="1">
      <protection hidden="1"/>
    </xf>
    <xf numFmtId="0" fontId="10" fillId="0" borderId="155" xfId="0" applyFont="1" applyFill="1" applyBorder="1" applyProtection="1">
      <protection hidden="1"/>
    </xf>
    <xf numFmtId="0" fontId="10" fillId="0" borderId="157" xfId="0" applyFont="1" applyFill="1" applyBorder="1" applyProtection="1">
      <protection hidden="1"/>
    </xf>
    <xf numFmtId="0" fontId="0" fillId="0" borderId="123" xfId="0" applyFill="1" applyBorder="1" applyAlignment="1" applyProtection="1">
      <alignment horizontal="center"/>
      <protection hidden="1"/>
    </xf>
    <xf numFmtId="0" fontId="10" fillId="0" borderId="171" xfId="0" applyFont="1" applyFill="1" applyBorder="1" applyProtection="1">
      <protection hidden="1"/>
    </xf>
    <xf numFmtId="0" fontId="10" fillId="0" borderId="175" xfId="0" applyFont="1" applyFill="1" applyBorder="1" applyProtection="1">
      <protection hidden="1"/>
    </xf>
    <xf numFmtId="0" fontId="10" fillId="0" borderId="154" xfId="0" applyFont="1" applyFill="1" applyBorder="1" applyProtection="1">
      <protection hidden="1"/>
    </xf>
    <xf numFmtId="0" fontId="10" fillId="0" borderId="152" xfId="0" applyFont="1" applyFill="1" applyBorder="1" applyProtection="1">
      <protection hidden="1"/>
    </xf>
    <xf numFmtId="0" fontId="10" fillId="0" borderId="156" xfId="0" applyFont="1" applyFill="1" applyBorder="1" applyProtection="1">
      <protection hidden="1"/>
    </xf>
    <xf numFmtId="0" fontId="10" fillId="0" borderId="172" xfId="0" applyFont="1" applyFill="1" applyBorder="1" applyProtection="1">
      <protection hidden="1"/>
    </xf>
    <xf numFmtId="0" fontId="5" fillId="0" borderId="113" xfId="0" applyFont="1" applyFill="1" applyBorder="1" applyAlignment="1" applyProtection="1">
      <alignment horizontal="right"/>
      <protection hidden="1"/>
    </xf>
    <xf numFmtId="0" fontId="0" fillId="0" borderId="122" xfId="0" applyBorder="1" applyAlignment="1" applyProtection="1">
      <alignment horizontal="center" vertical="top"/>
      <protection hidden="1"/>
    </xf>
    <xf numFmtId="0" fontId="0" fillId="0" borderId="123" xfId="0" applyBorder="1" applyAlignment="1" applyProtection="1">
      <alignment vertical="top"/>
      <protection hidden="1"/>
    </xf>
    <xf numFmtId="0" fontId="0" fillId="0" borderId="129" xfId="0" applyBorder="1" applyAlignment="1" applyProtection="1">
      <alignment vertical="top"/>
      <protection hidden="1"/>
    </xf>
    <xf numFmtId="0" fontId="0" fillId="0" borderId="124" xfId="0" applyBorder="1" applyAlignment="1" applyProtection="1">
      <alignment horizontal="center" vertical="top"/>
      <protection hidden="1"/>
    </xf>
    <xf numFmtId="0" fontId="0" fillId="0" borderId="205" xfId="0" applyBorder="1" applyAlignment="1" applyProtection="1">
      <alignment vertical="top"/>
      <protection hidden="1"/>
    </xf>
    <xf numFmtId="0" fontId="0" fillId="0" borderId="124" xfId="0" applyBorder="1" applyAlignment="1" applyProtection="1">
      <alignment vertical="top"/>
      <protection hidden="1"/>
    </xf>
    <xf numFmtId="0" fontId="1" fillId="0" borderId="129" xfId="0" quotePrefix="1" applyFont="1" applyBorder="1" applyAlignment="1" applyProtection="1">
      <alignment vertical="top"/>
      <protection hidden="1"/>
    </xf>
    <xf numFmtId="0" fontId="0" fillId="0" borderId="129" xfId="0" quotePrefix="1" applyBorder="1" applyAlignment="1" applyProtection="1">
      <alignment vertical="top"/>
      <protection hidden="1"/>
    </xf>
    <xf numFmtId="0" fontId="0" fillId="0" borderId="206" xfId="0" applyBorder="1" applyAlignment="1" applyProtection="1">
      <alignment vertical="top"/>
      <protection hidden="1"/>
    </xf>
    <xf numFmtId="0" fontId="0" fillId="0" borderId="188" xfId="0" applyBorder="1" applyAlignment="1" applyProtection="1">
      <alignment vertical="top"/>
      <protection hidden="1"/>
    </xf>
    <xf numFmtId="0" fontId="0" fillId="0" borderId="189" xfId="0" applyBorder="1" applyAlignment="1" applyProtection="1">
      <alignment vertical="top"/>
      <protection hidden="1"/>
    </xf>
    <xf numFmtId="0" fontId="0" fillId="0" borderId="141" xfId="0" applyBorder="1" applyAlignment="1" applyProtection="1">
      <alignment vertical="top"/>
      <protection hidden="1"/>
    </xf>
    <xf numFmtId="0" fontId="0" fillId="0" borderId="143" xfId="0" applyBorder="1" applyAlignment="1" applyProtection="1">
      <alignment vertical="top"/>
      <protection hidden="1"/>
    </xf>
    <xf numFmtId="0" fontId="0" fillId="0" borderId="145" xfId="0" applyBorder="1" applyAlignment="1" applyProtection="1">
      <alignment vertical="top"/>
      <protection hidden="1"/>
    </xf>
    <xf numFmtId="0" fontId="0" fillId="0" borderId="142" xfId="0" applyBorder="1" applyAlignment="1" applyProtection="1">
      <alignment vertical="top"/>
      <protection hidden="1"/>
    </xf>
    <xf numFmtId="0" fontId="0" fillId="0" borderId="144" xfId="0" applyBorder="1" applyAlignment="1" applyProtection="1">
      <alignment vertical="top"/>
      <protection hidden="1"/>
    </xf>
    <xf numFmtId="0" fontId="0" fillId="0" borderId="146" xfId="0" applyBorder="1" applyAlignment="1" applyProtection="1">
      <alignment vertical="top"/>
      <protection hidden="1"/>
    </xf>
    <xf numFmtId="0" fontId="5" fillId="36" borderId="170" xfId="0" applyFont="1" applyFill="1" applyBorder="1" applyAlignment="1" applyProtection="1">
      <protection locked="0"/>
    </xf>
    <xf numFmtId="0" fontId="0" fillId="0" borderId="207" xfId="0" applyBorder="1" applyAlignment="1" applyProtection="1">
      <alignment vertical="top"/>
      <protection hidden="1"/>
    </xf>
    <xf numFmtId="0" fontId="4" fillId="0" borderId="123" xfId="0" applyFont="1" applyBorder="1" applyAlignment="1" applyProtection="1">
      <protection hidden="1"/>
    </xf>
    <xf numFmtId="0" fontId="0" fillId="0" borderId="123" xfId="0" applyBorder="1" applyAlignment="1" applyProtection="1">
      <alignment horizontal="center" vertical="top"/>
      <protection hidden="1"/>
    </xf>
    <xf numFmtId="0" fontId="4" fillId="0" borderId="0" xfId="0" applyFont="1" applyAlignment="1" applyProtection="1">
      <alignment vertical="top"/>
      <protection hidden="1"/>
    </xf>
    <xf numFmtId="0" fontId="10" fillId="0" borderId="122" xfId="0" applyFont="1" applyFill="1" applyBorder="1" applyAlignment="1" applyProtection="1">
      <alignment horizontal="center"/>
      <protection hidden="1"/>
    </xf>
    <xf numFmtId="0" fontId="10" fillId="0" borderId="129" xfId="0" applyFont="1" applyFill="1" applyBorder="1" applyProtection="1">
      <protection hidden="1"/>
    </xf>
    <xf numFmtId="0" fontId="1" fillId="0" borderId="122" xfId="0" quotePrefix="1" applyFont="1" applyFill="1" applyBorder="1" applyProtection="1">
      <protection hidden="1"/>
    </xf>
    <xf numFmtId="0" fontId="10" fillId="0" borderId="130" xfId="0" applyFont="1" applyFill="1" applyBorder="1" applyProtection="1">
      <protection hidden="1"/>
    </xf>
    <xf numFmtId="0" fontId="10" fillId="0" borderId="208" xfId="0" applyFont="1" applyFill="1" applyBorder="1" applyProtection="1">
      <protection hidden="1"/>
    </xf>
    <xf numFmtId="0" fontId="10" fillId="0" borderId="142" xfId="0" applyFont="1" applyFill="1" applyBorder="1" applyProtection="1">
      <protection hidden="1"/>
    </xf>
    <xf numFmtId="0" fontId="10" fillId="0" borderId="144" xfId="0" applyFont="1" applyFill="1" applyBorder="1" applyProtection="1">
      <protection hidden="1"/>
    </xf>
    <xf numFmtId="0" fontId="10" fillId="0" borderId="146" xfId="0" applyFont="1" applyFill="1" applyBorder="1" applyProtection="1">
      <protection hidden="1"/>
    </xf>
    <xf numFmtId="0" fontId="10" fillId="0" borderId="166" xfId="0" applyFont="1" applyFill="1" applyBorder="1" applyProtection="1">
      <protection hidden="1"/>
    </xf>
    <xf numFmtId="0" fontId="10" fillId="0" borderId="159" xfId="0" applyFont="1" applyFill="1" applyBorder="1" applyProtection="1">
      <protection hidden="1"/>
    </xf>
    <xf numFmtId="0" fontId="10" fillId="0" borderId="168" xfId="0" applyFont="1" applyFill="1" applyBorder="1" applyProtection="1">
      <protection hidden="1"/>
    </xf>
    <xf numFmtId="0" fontId="10" fillId="0" borderId="169" xfId="0" applyFont="1" applyFill="1" applyBorder="1" applyProtection="1">
      <protection hidden="1"/>
    </xf>
    <xf numFmtId="0" fontId="10" fillId="0" borderId="174" xfId="0" applyFont="1" applyFill="1" applyBorder="1" applyProtection="1">
      <protection hidden="1"/>
    </xf>
    <xf numFmtId="0" fontId="11" fillId="0" borderId="122" xfId="0" applyFont="1" applyBorder="1" applyProtection="1">
      <protection hidden="1"/>
    </xf>
    <xf numFmtId="0" fontId="11" fillId="0" borderId="122" xfId="0" quotePrefix="1" applyFont="1" applyBorder="1" applyProtection="1">
      <protection hidden="1"/>
    </xf>
    <xf numFmtId="0" fontId="11" fillId="0" borderId="122" xfId="0" applyFont="1" applyFill="1" applyBorder="1" applyProtection="1">
      <protection hidden="1"/>
    </xf>
    <xf numFmtId="0" fontId="74" fillId="0" borderId="0" xfId="0" applyFont="1" applyBorder="1" applyAlignment="1">
      <alignment horizontal="center" vertical="center"/>
    </xf>
    <xf numFmtId="0" fontId="80" fillId="0" borderId="0" xfId="0" applyFont="1" applyFill="1" applyBorder="1" applyAlignment="1">
      <alignment vertical="center"/>
    </xf>
    <xf numFmtId="0" fontId="81" fillId="0" borderId="0" xfId="35" applyFont="1" applyFill="1" applyBorder="1" applyAlignment="1" applyProtection="1">
      <alignment horizontal="center"/>
      <protection hidden="1"/>
    </xf>
    <xf numFmtId="0" fontId="81" fillId="0" borderId="0" xfId="35" applyFont="1" applyFill="1" applyBorder="1" applyAlignment="1" applyProtection="1">
      <alignment horizontal="center"/>
    </xf>
    <xf numFmtId="0" fontId="10" fillId="0" borderId="0" xfId="0" applyFont="1" applyFill="1" applyBorder="1" applyAlignment="1">
      <alignment horizontal="center"/>
    </xf>
    <xf numFmtId="0" fontId="80" fillId="0" borderId="0" xfId="0" applyFont="1"/>
    <xf numFmtId="0" fontId="80" fillId="0" borderId="0" xfId="0" applyFont="1" applyFill="1" applyBorder="1" applyAlignment="1">
      <alignment horizontal="center" vertical="center"/>
    </xf>
    <xf numFmtId="0" fontId="1" fillId="0" borderId="0" xfId="0" applyFont="1" applyFill="1" applyBorder="1" applyAlignment="1" applyProtection="1">
      <protection hidden="1"/>
    </xf>
    <xf numFmtId="0" fontId="1" fillId="0" borderId="0" xfId="0" applyFont="1" applyFill="1" applyBorder="1" applyAlignment="1">
      <alignment horizontal="center" vertical="center"/>
    </xf>
    <xf numFmtId="0" fontId="83" fillId="0" borderId="0" xfId="0" applyFont="1" applyFill="1" applyBorder="1" applyAlignment="1">
      <alignment horizontal="center" vertical="center"/>
    </xf>
    <xf numFmtId="0" fontId="17" fillId="0" borderId="0" xfId="0" applyFont="1" applyAlignment="1">
      <alignment horizontal="center"/>
    </xf>
    <xf numFmtId="0" fontId="83" fillId="0" borderId="0" xfId="0" applyFont="1" applyFill="1" applyBorder="1" applyAlignment="1" applyProtection="1">
      <protection hidden="1"/>
    </xf>
    <xf numFmtId="0" fontId="83" fillId="0" borderId="0" xfId="0" applyFont="1" applyFill="1" applyBorder="1" applyAlignment="1"/>
    <xf numFmtId="0" fontId="83" fillId="0" borderId="0" xfId="0" applyFont="1" applyFill="1" applyBorder="1" applyAlignment="1">
      <alignment vertical="top"/>
    </xf>
    <xf numFmtId="0" fontId="83" fillId="0" borderId="0" xfId="0" applyFont="1" applyFill="1" applyBorder="1" applyAlignment="1" applyProtection="1">
      <alignment horizontal="center"/>
      <protection hidden="1"/>
    </xf>
    <xf numFmtId="0" fontId="81" fillId="0" borderId="0" xfId="35" applyFont="1" applyFill="1" applyBorder="1" applyAlignment="1" applyProtection="1">
      <alignment horizontal="center" vertical="top"/>
      <protection hidden="1"/>
    </xf>
    <xf numFmtId="0" fontId="81" fillId="0" borderId="0" xfId="35" applyFont="1" applyFill="1" applyBorder="1" applyAlignment="1" applyProtection="1">
      <alignment horizontal="center" vertical="top"/>
    </xf>
    <xf numFmtId="0" fontId="0" fillId="0" borderId="0" xfId="0" applyNumberFormat="1" applyFill="1" applyBorder="1" applyAlignment="1" applyProtection="1">
      <alignment vertical="top"/>
      <protection hidden="1"/>
    </xf>
    <xf numFmtId="0" fontId="10" fillId="0" borderId="0" xfId="0" applyNumberFormat="1" applyFont="1" applyFill="1" applyBorder="1" applyAlignment="1" applyProtection="1">
      <alignment horizontal="center" vertical="top"/>
      <protection hidden="1"/>
    </xf>
    <xf numFmtId="0" fontId="10" fillId="0" borderId="0" xfId="0" applyFont="1" applyFill="1" applyBorder="1" applyAlignment="1"/>
    <xf numFmtId="0" fontId="10" fillId="0" borderId="122" xfId="0" applyFont="1" applyFill="1" applyBorder="1" applyAlignment="1">
      <alignment horizontal="center"/>
    </xf>
    <xf numFmtId="0" fontId="10" fillId="0" borderId="130" xfId="0" applyFont="1" applyFill="1" applyBorder="1" applyAlignment="1"/>
    <xf numFmtId="0" fontId="10" fillId="0" borderId="122" xfId="0" applyFont="1" applyFill="1" applyBorder="1" applyAlignment="1"/>
    <xf numFmtId="0" fontId="80" fillId="0" borderId="0" xfId="0" applyFont="1" applyBorder="1" applyAlignment="1" applyProtection="1">
      <alignment horizontal="center" vertical="center" wrapText="1"/>
      <protection hidden="1"/>
    </xf>
    <xf numFmtId="0" fontId="0" fillId="0" borderId="0" xfId="0" applyBorder="1" applyAlignment="1">
      <alignment horizontal="left" vertical="top"/>
    </xf>
    <xf numFmtId="0" fontId="1" fillId="0" borderId="0" xfId="0" applyFont="1" applyFill="1" applyBorder="1" applyAlignment="1" applyProtection="1">
      <alignment horizontal="center" vertical="top"/>
      <protection hidden="1"/>
    </xf>
    <xf numFmtId="0" fontId="1" fillId="0" borderId="0" xfId="0" applyFont="1" applyFill="1" applyBorder="1" applyAlignment="1" applyProtection="1">
      <alignment vertical="top"/>
      <protection hidden="1"/>
    </xf>
    <xf numFmtId="0" fontId="10" fillId="0" borderId="0" xfId="0" applyFont="1" applyAlignment="1">
      <alignment horizontal="left" vertical="top" wrapText="1"/>
    </xf>
    <xf numFmtId="10" fontId="13" fillId="36" borderId="0" xfId="0" applyNumberFormat="1" applyFont="1" applyFill="1" applyAlignment="1" applyProtection="1">
      <alignment horizontal="left" vertical="top"/>
      <protection hidden="1"/>
    </xf>
    <xf numFmtId="49" fontId="4" fillId="0" borderId="0" xfId="0" applyNumberFormat="1" applyFont="1" applyFill="1" applyBorder="1" applyAlignment="1" applyProtection="1">
      <alignment horizontal="left" vertical="top"/>
      <protection hidden="1"/>
    </xf>
    <xf numFmtId="0" fontId="0" fillId="0" borderId="0" xfId="0" applyNumberFormat="1" applyAlignment="1">
      <alignment horizontal="left" vertical="top" wrapText="1"/>
    </xf>
    <xf numFmtId="0" fontId="82" fillId="0" borderId="0" xfId="0" applyFont="1" applyFill="1" applyBorder="1" applyAlignment="1" applyProtection="1">
      <alignment horizontal="center" vertical="center"/>
      <protection hidden="1"/>
    </xf>
    <xf numFmtId="0" fontId="83" fillId="0" borderId="0" xfId="0" applyFont="1" applyFill="1" applyBorder="1" applyAlignment="1" applyProtection="1">
      <alignment horizontal="center" vertical="center"/>
      <protection hidden="1"/>
    </xf>
    <xf numFmtId="0" fontId="83" fillId="0" borderId="0" xfId="0" applyFont="1" applyFill="1" applyAlignment="1" applyProtection="1">
      <alignment vertical="center"/>
      <protection hidden="1"/>
    </xf>
    <xf numFmtId="0" fontId="83" fillId="0" borderId="0" xfId="0" applyFont="1" applyProtection="1">
      <protection hidden="1"/>
    </xf>
    <xf numFmtId="0" fontId="4" fillId="0" borderId="0" xfId="0" applyNumberFormat="1" applyFont="1" applyAlignment="1">
      <alignment horizontal="left" vertical="top"/>
    </xf>
    <xf numFmtId="0" fontId="80" fillId="0" borderId="0" xfId="0" applyFont="1" applyBorder="1" applyAlignment="1">
      <alignment horizontal="center" vertical="center" wrapText="1"/>
    </xf>
    <xf numFmtId="0" fontId="5" fillId="0" borderId="122" xfId="0" applyFont="1" applyFill="1" applyBorder="1" applyAlignment="1" applyProtection="1">
      <alignment horizontal="right"/>
      <protection hidden="1"/>
    </xf>
    <xf numFmtId="0" fontId="0" fillId="0" borderId="0" xfId="0" applyBorder="1" applyAlignment="1" applyProtection="1">
      <alignment horizontal="left"/>
      <protection hidden="1"/>
    </xf>
    <xf numFmtId="0" fontId="80" fillId="0" borderId="0" xfId="0" applyFont="1" applyFill="1" applyBorder="1" applyAlignment="1" applyProtection="1">
      <alignment horizontal="center" vertical="center"/>
      <protection hidden="1"/>
    </xf>
    <xf numFmtId="165" fontId="0" fillId="0" borderId="122" xfId="0" applyNumberFormat="1" applyFill="1" applyBorder="1" applyAlignment="1" applyProtection="1">
      <alignment horizontal="center"/>
    </xf>
    <xf numFmtId="0" fontId="4" fillId="0" borderId="0" xfId="0" quotePrefix="1" applyFont="1" applyBorder="1" applyProtection="1">
      <protection hidden="1"/>
    </xf>
    <xf numFmtId="0" fontId="5" fillId="36" borderId="125" xfId="0" applyFont="1" applyFill="1" applyBorder="1" applyAlignment="1" applyProtection="1">
      <alignment horizontal="right"/>
      <protection locked="0"/>
    </xf>
    <xf numFmtId="0" fontId="5" fillId="36" borderId="128" xfId="0" applyFont="1" applyFill="1" applyBorder="1" applyAlignment="1" applyProtection="1">
      <alignment horizontal="right"/>
      <protection locked="0"/>
    </xf>
    <xf numFmtId="0" fontId="5" fillId="36" borderId="127" xfId="0" applyFont="1" applyFill="1" applyBorder="1" applyAlignment="1" applyProtection="1">
      <alignment horizontal="right"/>
      <protection locked="0"/>
    </xf>
    <xf numFmtId="0" fontId="5" fillId="36" borderId="170" xfId="0" applyFont="1" applyFill="1" applyBorder="1" applyAlignment="1" applyProtection="1">
      <alignment horizontal="right"/>
      <protection locked="0"/>
    </xf>
    <xf numFmtId="0" fontId="11" fillId="0" borderId="122" xfId="0" applyFont="1" applyFill="1" applyBorder="1" applyAlignment="1" applyProtection="1">
      <alignment horizontal="center"/>
      <protection hidden="1"/>
    </xf>
    <xf numFmtId="0" fontId="0" fillId="43" borderId="122" xfId="0" quotePrefix="1" applyFill="1" applyBorder="1" applyProtection="1">
      <protection locked="0"/>
    </xf>
    <xf numFmtId="15" fontId="0" fillId="43" borderId="122" xfId="0" applyNumberFormat="1" applyFill="1" applyBorder="1" applyAlignment="1" applyProtection="1">
      <protection locked="0"/>
    </xf>
    <xf numFmtId="15" fontId="0" fillId="43" borderId="122" xfId="0" applyNumberFormat="1" applyFill="1" applyBorder="1" applyAlignment="1" applyProtection="1">
      <alignment horizontal="center"/>
      <protection locked="0"/>
    </xf>
    <xf numFmtId="0" fontId="0" fillId="43" borderId="122" xfId="0" applyFill="1" applyBorder="1" applyAlignment="1" applyProtection="1">
      <alignment horizontal="center"/>
      <protection locked="0"/>
    </xf>
    <xf numFmtId="0" fontId="10" fillId="0" borderId="0" xfId="0" applyFont="1" applyFill="1" applyBorder="1" applyAlignment="1" applyProtection="1">
      <alignment vertical="top" wrapText="1"/>
      <protection hidden="1"/>
    </xf>
    <xf numFmtId="0" fontId="1" fillId="0" borderId="0" xfId="0" applyFont="1" applyAlignment="1">
      <alignment vertical="top" wrapText="1"/>
    </xf>
    <xf numFmtId="0" fontId="0" fillId="0" borderId="129" xfId="0" applyBorder="1" applyAlignment="1" applyProtection="1">
      <alignment horizontal="right" vertical="top"/>
      <protection hidden="1"/>
    </xf>
    <xf numFmtId="0" fontId="0" fillId="0" borderId="129" xfId="0" applyBorder="1" applyAlignment="1" applyProtection="1">
      <alignment horizontal="center" vertical="top"/>
      <protection hidden="1"/>
    </xf>
    <xf numFmtId="0" fontId="0" fillId="0" borderId="209" xfId="0" applyBorder="1"/>
    <xf numFmtId="0" fontId="0" fillId="0" borderId="205" xfId="0" applyBorder="1"/>
    <xf numFmtId="0" fontId="0" fillId="0" borderId="210" xfId="0" applyBorder="1" applyAlignment="1" applyProtection="1">
      <alignment horizontal="center" vertical="top"/>
      <protection hidden="1"/>
    </xf>
    <xf numFmtId="0" fontId="1" fillId="0" borderId="0" xfId="0" applyFont="1" applyFill="1" applyBorder="1" applyAlignment="1">
      <alignment vertical="top"/>
    </xf>
    <xf numFmtId="0" fontId="0" fillId="0" borderId="136" xfId="0" applyBorder="1" applyProtection="1">
      <protection hidden="1"/>
    </xf>
    <xf numFmtId="166" fontId="0" fillId="0" borderId="142" xfId="0" applyNumberFormat="1" applyBorder="1" applyAlignment="1" applyProtection="1">
      <alignment horizontal="right" vertical="top"/>
      <protection hidden="1"/>
    </xf>
    <xf numFmtId="166" fontId="0" fillId="0" borderId="144" xfId="0" applyNumberFormat="1" applyBorder="1" applyAlignment="1" applyProtection="1">
      <alignment horizontal="right" vertical="top"/>
      <protection hidden="1"/>
    </xf>
    <xf numFmtId="166" fontId="0" fillId="0" borderId="146" xfId="0" applyNumberFormat="1" applyBorder="1" applyAlignment="1" applyProtection="1">
      <alignment horizontal="right" vertical="top"/>
      <protection hidden="1"/>
    </xf>
    <xf numFmtId="0" fontId="4" fillId="0" borderId="0" xfId="0" applyFont="1" applyBorder="1" applyAlignment="1" applyProtection="1">
      <alignment horizontal="left"/>
      <protection hidden="1"/>
    </xf>
    <xf numFmtId="0" fontId="1" fillId="0" borderId="124" xfId="0" applyFont="1" applyFill="1" applyBorder="1"/>
    <xf numFmtId="49" fontId="1" fillId="0" borderId="0" xfId="0" applyNumberFormat="1" applyFont="1" applyAlignment="1">
      <alignment horizontal="center" vertical="top" wrapText="1"/>
    </xf>
    <xf numFmtId="0" fontId="66" fillId="0" borderId="0" xfId="0" applyFont="1" applyFill="1" applyBorder="1" applyAlignment="1" applyProtection="1">
      <protection hidden="1"/>
    </xf>
    <xf numFmtId="0" fontId="10" fillId="0" borderId="0" xfId="0" applyFont="1" applyFill="1" applyBorder="1" applyAlignment="1" applyProtection="1">
      <protection hidden="1"/>
    </xf>
    <xf numFmtId="0" fontId="87" fillId="0" borderId="0" xfId="0" applyFont="1"/>
    <xf numFmtId="15" fontId="0" fillId="0" borderId="0" xfId="0" applyNumberFormat="1" applyBorder="1" applyProtection="1">
      <protection hidden="1"/>
    </xf>
    <xf numFmtId="0" fontId="0" fillId="0" borderId="10" xfId="0" applyNumberFormat="1" applyBorder="1" applyProtection="1">
      <protection hidden="1"/>
    </xf>
    <xf numFmtId="0" fontId="0" fillId="0" borderId="142" xfId="0" applyBorder="1" applyAlignment="1" applyProtection="1">
      <alignment horizontal="center" vertical="top" wrapText="1"/>
      <protection hidden="1"/>
    </xf>
    <xf numFmtId="0" fontId="0" fillId="0" borderId="122" xfId="0" applyBorder="1" applyAlignment="1" applyProtection="1">
      <alignment horizontal="center" vertical="top" wrapText="1"/>
      <protection hidden="1"/>
    </xf>
    <xf numFmtId="0" fontId="0" fillId="0" borderId="170" xfId="0" applyBorder="1" applyAlignment="1" applyProtection="1">
      <alignment horizontal="center" vertical="top" wrapText="1"/>
      <protection hidden="1"/>
    </xf>
    <xf numFmtId="0" fontId="11" fillId="0" borderId="123" xfId="0" applyFont="1" applyBorder="1" applyProtection="1">
      <protection hidden="1"/>
    </xf>
    <xf numFmtId="0" fontId="0" fillId="0" borderId="211" xfId="0" applyBorder="1" applyProtection="1">
      <protection hidden="1"/>
    </xf>
    <xf numFmtId="0" fontId="0" fillId="0" borderId="144" xfId="0" applyBorder="1" applyAlignment="1" applyProtection="1">
      <alignment horizontal="center" vertical="top" wrapText="1"/>
      <protection hidden="1"/>
    </xf>
    <xf numFmtId="0" fontId="0" fillId="0" borderId="146" xfId="0" applyBorder="1" applyAlignment="1" applyProtection="1">
      <alignment horizontal="center" vertical="top" wrapText="1"/>
      <protection hidden="1"/>
    </xf>
    <xf numFmtId="0" fontId="5" fillId="36" borderId="188" xfId="0" applyFont="1" applyFill="1" applyBorder="1" applyProtection="1">
      <protection locked="0"/>
    </xf>
    <xf numFmtId="0" fontId="1" fillId="0" borderId="122" xfId="0" applyFont="1" applyFill="1" applyBorder="1" applyProtection="1">
      <protection hidden="1"/>
    </xf>
    <xf numFmtId="169" fontId="0" fillId="0" borderId="122" xfId="0" applyNumberFormat="1" applyBorder="1" applyProtection="1">
      <protection hidden="1"/>
    </xf>
    <xf numFmtId="169" fontId="0" fillId="0" borderId="122" xfId="0" applyNumberFormat="1" applyFill="1" applyBorder="1" applyProtection="1">
      <protection hidden="1"/>
    </xf>
    <xf numFmtId="169" fontId="0" fillId="0" borderId="0" xfId="0" applyNumberFormat="1" applyProtection="1">
      <protection hidden="1"/>
    </xf>
    <xf numFmtId="169" fontId="5" fillId="36" borderId="122" xfId="0" applyNumberFormat="1" applyFont="1" applyFill="1" applyBorder="1" applyProtection="1">
      <protection locked="0"/>
    </xf>
    <xf numFmtId="0" fontId="0" fillId="42" borderId="0" xfId="0" applyFill="1" applyAlignment="1">
      <alignment vertical="top" wrapText="1"/>
    </xf>
    <xf numFmtId="0" fontId="1" fillId="0" borderId="0" xfId="35" applyFont="1" applyAlignment="1" applyProtection="1">
      <alignment vertical="top" wrapText="1"/>
      <protection hidden="1"/>
    </xf>
    <xf numFmtId="0" fontId="1" fillId="0" borderId="0" xfId="35" applyFont="1" applyAlignment="1" applyProtection="1">
      <alignment vertical="top" wrapText="1"/>
    </xf>
    <xf numFmtId="0" fontId="4" fillId="0" borderId="0" xfId="35" applyFont="1" applyAlignment="1" applyProtection="1">
      <alignment vertical="top"/>
      <protection hidden="1"/>
    </xf>
    <xf numFmtId="0" fontId="0" fillId="0" borderId="0" xfId="0" quotePrefix="1" applyAlignment="1" applyProtection="1">
      <alignment vertical="top"/>
      <protection hidden="1"/>
    </xf>
    <xf numFmtId="0" fontId="0" fillId="0" borderId="0" xfId="0" quotePrefix="1" applyBorder="1" applyAlignment="1" applyProtection="1">
      <protection hidden="1"/>
    </xf>
    <xf numFmtId="0" fontId="1" fillId="0" borderId="0" xfId="0" applyFont="1" applyFill="1" applyBorder="1" applyAlignment="1" applyProtection="1">
      <alignment horizontal="left"/>
      <protection hidden="1"/>
    </xf>
    <xf numFmtId="0" fontId="0" fillId="0" borderId="168" xfId="0" applyBorder="1"/>
    <xf numFmtId="0" fontId="0" fillId="0" borderId="169" xfId="0" applyBorder="1"/>
    <xf numFmtId="0" fontId="0" fillId="0" borderId="129" xfId="0" applyBorder="1" applyAlignment="1" applyProtection="1">
      <alignment horizontal="center"/>
      <protection hidden="1"/>
    </xf>
    <xf numFmtId="0" fontId="1" fillId="0" borderId="122" xfId="0" quotePrefix="1" applyFont="1" applyBorder="1" applyAlignment="1" applyProtection="1">
      <alignment horizontal="left"/>
      <protection hidden="1"/>
    </xf>
    <xf numFmtId="9" fontId="0" fillId="0" borderId="122" xfId="0" applyNumberFormat="1" applyBorder="1" applyAlignment="1" applyProtection="1">
      <alignment horizontal="right"/>
      <protection hidden="1"/>
    </xf>
    <xf numFmtId="9" fontId="0" fillId="0" borderId="123" xfId="0" applyNumberFormat="1" applyBorder="1" applyAlignment="1" applyProtection="1">
      <alignment horizontal="right"/>
      <protection hidden="1"/>
    </xf>
    <xf numFmtId="9" fontId="0" fillId="0" borderId="165" xfId="0" applyNumberFormat="1" applyBorder="1" applyAlignment="1" applyProtection="1">
      <alignment horizontal="right"/>
      <protection hidden="1"/>
    </xf>
    <xf numFmtId="9" fontId="0" fillId="0" borderId="130" xfId="0" applyNumberFormat="1" applyBorder="1" applyAlignment="1" applyProtection="1">
      <alignment horizontal="right"/>
      <protection hidden="1"/>
    </xf>
    <xf numFmtId="9" fontId="5" fillId="36" borderId="207" xfId="0" applyNumberFormat="1" applyFont="1" applyFill="1" applyBorder="1" applyAlignment="1" applyProtection="1">
      <alignment horizontal="right"/>
      <protection locked="0"/>
    </xf>
    <xf numFmtId="169" fontId="0" fillId="42" borderId="122" xfId="0" applyNumberFormat="1" applyFill="1" applyBorder="1" applyProtection="1">
      <protection locked="0"/>
    </xf>
    <xf numFmtId="0" fontId="1" fillId="0" borderId="122" xfId="0" applyFont="1" applyBorder="1" applyProtection="1">
      <protection hidden="1"/>
    </xf>
    <xf numFmtId="0" fontId="1" fillId="0" borderId="122" xfId="35" applyFont="1" applyBorder="1" applyAlignment="1" applyProtection="1">
      <alignment vertical="top"/>
      <protection hidden="1"/>
    </xf>
    <xf numFmtId="0" fontId="1" fillId="0" borderId="125" xfId="35" applyFont="1" applyBorder="1" applyAlignment="1" applyProtection="1">
      <alignment vertical="top"/>
      <protection hidden="1"/>
    </xf>
    <xf numFmtId="0" fontId="1" fillId="0" borderId="122" xfId="35" applyFont="1" applyBorder="1" applyAlignment="1" applyProtection="1">
      <alignment horizontal="center" vertical="top"/>
      <protection hidden="1"/>
    </xf>
    <xf numFmtId="0" fontId="1" fillId="0" borderId="122" xfId="35" applyFont="1" applyBorder="1" applyAlignment="1" applyProtection="1">
      <alignment horizontal="center" vertical="top"/>
    </xf>
    <xf numFmtId="0" fontId="1" fillId="0" borderId="123" xfId="35" applyFont="1" applyBorder="1" applyAlignment="1" applyProtection="1">
      <alignment vertical="top"/>
      <protection hidden="1"/>
    </xf>
    <xf numFmtId="0" fontId="1" fillId="0" borderId="122" xfId="35" applyFont="1" applyBorder="1" applyAlignment="1" applyProtection="1">
      <alignment vertical="top"/>
    </xf>
    <xf numFmtId="0" fontId="1" fillId="0" borderId="122" xfId="0" applyFont="1" applyBorder="1" applyAlignment="1" applyProtection="1">
      <protection hidden="1"/>
    </xf>
    <xf numFmtId="0" fontId="1" fillId="0" borderId="124" xfId="35" applyFont="1" applyBorder="1" applyAlignment="1" applyProtection="1">
      <alignment vertical="top"/>
      <protection hidden="1"/>
    </xf>
    <xf numFmtId="0" fontId="1" fillId="0" borderId="129" xfId="35" applyFont="1" applyBorder="1" applyAlignment="1" applyProtection="1">
      <alignment vertical="top"/>
      <protection hidden="1"/>
    </xf>
    <xf numFmtId="0" fontId="1" fillId="0" borderId="130" xfId="35" applyFont="1" applyBorder="1" applyAlignment="1" applyProtection="1">
      <alignment vertical="top"/>
      <protection hidden="1"/>
    </xf>
    <xf numFmtId="0" fontId="5" fillId="36" borderId="127" xfId="35" applyFont="1" applyFill="1" applyBorder="1" applyAlignment="1" applyProtection="1">
      <alignment vertical="top"/>
      <protection locked="0"/>
    </xf>
    <xf numFmtId="0" fontId="1" fillId="0" borderId="122" xfId="35" quotePrefix="1" applyFont="1" applyBorder="1" applyAlignment="1" applyProtection="1">
      <alignment vertical="top"/>
      <protection hidden="1"/>
    </xf>
    <xf numFmtId="0" fontId="5" fillId="28" borderId="122" xfId="35" applyFont="1" applyFill="1" applyBorder="1" applyAlignment="1" applyProtection="1">
      <alignment vertical="top"/>
      <protection hidden="1"/>
    </xf>
    <xf numFmtId="0" fontId="1" fillId="0" borderId="123" xfId="35" applyFont="1" applyBorder="1" applyAlignment="1" applyProtection="1">
      <alignment horizontal="center" vertical="top"/>
      <protection hidden="1"/>
    </xf>
    <xf numFmtId="0" fontId="1" fillId="0" borderId="129" xfId="35" applyFont="1" applyBorder="1" applyAlignment="1" applyProtection="1">
      <alignment vertical="top"/>
    </xf>
    <xf numFmtId="0" fontId="5" fillId="36" borderId="128" xfId="35" applyFont="1" applyFill="1" applyBorder="1" applyAlignment="1" applyProtection="1">
      <alignment vertical="top"/>
      <protection locked="0"/>
    </xf>
    <xf numFmtId="0" fontId="1" fillId="0" borderId="113" xfId="35" applyFont="1" applyFill="1" applyBorder="1" applyAlignment="1" applyProtection="1">
      <alignment vertical="top"/>
      <protection locked="0"/>
    </xf>
    <xf numFmtId="0" fontId="1" fillId="0" borderId="0" xfId="0" applyFont="1" applyAlignment="1" applyProtection="1">
      <protection hidden="1"/>
    </xf>
    <xf numFmtId="0" fontId="1" fillId="0" borderId="0" xfId="35" applyFont="1" applyAlignment="1" applyProtection="1">
      <alignment vertical="top"/>
      <protection hidden="1"/>
    </xf>
    <xf numFmtId="0" fontId="1" fillId="0" borderId="0" xfId="35" applyFont="1" applyAlignment="1" applyProtection="1">
      <alignment vertical="top"/>
    </xf>
    <xf numFmtId="0" fontId="1" fillId="0" borderId="130" xfId="0" applyFont="1" applyBorder="1" applyAlignment="1" applyProtection="1">
      <protection hidden="1"/>
    </xf>
    <xf numFmtId="0" fontId="1" fillId="0" borderId="124" xfId="35" applyFont="1" applyBorder="1" applyAlignment="1" applyProtection="1">
      <alignment horizontal="center" vertical="top"/>
      <protection hidden="1"/>
    </xf>
    <xf numFmtId="0" fontId="1" fillId="0" borderId="125" xfId="35" applyFont="1" applyBorder="1" applyAlignment="1" applyProtection="1">
      <alignment vertical="top"/>
    </xf>
    <xf numFmtId="0" fontId="1" fillId="0" borderId="113" xfId="35" applyFont="1" applyBorder="1" applyAlignment="1" applyProtection="1">
      <alignment vertical="top"/>
    </xf>
    <xf numFmtId="0" fontId="1" fillId="0" borderId="127" xfId="35" applyFont="1" applyBorder="1" applyAlignment="1" applyProtection="1">
      <alignment vertical="top"/>
    </xf>
    <xf numFmtId="0" fontId="1" fillId="0" borderId="128" xfId="35" applyFont="1" applyBorder="1" applyAlignment="1" applyProtection="1">
      <alignment vertical="top"/>
    </xf>
    <xf numFmtId="0" fontId="1" fillId="0" borderId="170" xfId="35" applyFont="1" applyBorder="1" applyAlignment="1" applyProtection="1">
      <alignment vertical="top"/>
    </xf>
    <xf numFmtId="0" fontId="1" fillId="0" borderId="131" xfId="35" applyFont="1" applyBorder="1" applyAlignment="1" applyProtection="1">
      <alignment vertical="top"/>
    </xf>
    <xf numFmtId="0" fontId="4" fillId="0" borderId="0" xfId="0" applyFont="1" applyBorder="1" applyAlignment="1" applyProtection="1">
      <alignment vertical="top"/>
      <protection hidden="1"/>
    </xf>
    <xf numFmtId="0" fontId="5" fillId="36" borderId="170" xfId="0" applyFont="1" applyFill="1" applyBorder="1" applyAlignment="1" applyProtection="1">
      <alignment horizontal="left"/>
      <protection locked="0"/>
    </xf>
    <xf numFmtId="0" fontId="5" fillId="36" borderId="127" xfId="0" applyFont="1" applyFill="1" applyBorder="1" applyAlignment="1" applyProtection="1">
      <alignment horizontal="center"/>
      <protection locked="0"/>
    </xf>
    <xf numFmtId="0" fontId="0" fillId="0" borderId="0" xfId="0" applyBorder="1" applyAlignment="1">
      <alignment vertical="top" wrapText="1"/>
    </xf>
    <xf numFmtId="0" fontId="0" fillId="0" borderId="7" xfId="0" quotePrefix="1" applyBorder="1" applyProtection="1">
      <protection hidden="1"/>
    </xf>
    <xf numFmtId="0" fontId="6" fillId="0" borderId="0" xfId="35" applyFill="1" applyBorder="1" applyAlignment="1" applyProtection="1">
      <alignment horizontal="center"/>
      <protection hidden="1"/>
    </xf>
    <xf numFmtId="0" fontId="6" fillId="0" borderId="0" xfId="35" applyFill="1" applyBorder="1" applyAlignment="1" applyProtection="1">
      <alignment horizontal="left"/>
      <protection hidden="1"/>
    </xf>
    <xf numFmtId="0" fontId="10" fillId="0" borderId="0" xfId="0" applyFont="1"/>
    <xf numFmtId="0" fontId="0" fillId="0" borderId="0" xfId="0" applyNumberFormat="1" applyAlignment="1">
      <alignment horizontal="left" vertical="top" wrapText="1"/>
    </xf>
    <xf numFmtId="0" fontId="10" fillId="0" borderId="0" xfId="0" applyFont="1" applyFill="1" applyBorder="1" applyAlignment="1" applyProtection="1">
      <alignment horizontal="left" vertical="top" wrapText="1"/>
      <protection hidden="1"/>
    </xf>
    <xf numFmtId="0" fontId="10" fillId="0" borderId="0" xfId="0" applyFont="1" applyFill="1" applyBorder="1" applyAlignment="1" applyProtection="1">
      <alignment vertical="top" wrapText="1"/>
      <protection hidden="1"/>
    </xf>
    <xf numFmtId="0" fontId="10" fillId="0" borderId="0" xfId="0" applyFont="1" applyAlignment="1">
      <alignment vertical="top" wrapText="1"/>
    </xf>
    <xf numFmtId="0" fontId="10" fillId="0" borderId="0" xfId="0" applyNumberFormat="1" applyFont="1" applyFill="1" applyBorder="1" applyAlignment="1" applyProtection="1">
      <alignment horizontal="left" vertical="top" wrapText="1"/>
      <protection hidden="1"/>
    </xf>
    <xf numFmtId="0" fontId="10" fillId="0" borderId="0" xfId="0" applyFont="1" applyAlignment="1">
      <alignment horizontal="left" vertical="top" wrapText="1"/>
    </xf>
    <xf numFmtId="0" fontId="6" fillId="0" borderId="0" xfId="35" applyAlignment="1" applyProtection="1">
      <alignment horizontal="center"/>
    </xf>
    <xf numFmtId="0" fontId="12" fillId="0" borderId="0" xfId="35" applyFont="1" applyFill="1" applyBorder="1" applyAlignment="1" applyProtection="1">
      <alignment vertical="top"/>
      <protection hidden="1"/>
    </xf>
    <xf numFmtId="0" fontId="12" fillId="0" borderId="0" xfId="35" applyFont="1" applyFill="1" applyBorder="1" applyAlignment="1" applyProtection="1">
      <protection hidden="1"/>
    </xf>
    <xf numFmtId="0" fontId="27" fillId="0" borderId="0" xfId="0" applyFont="1" applyAlignment="1" applyProtection="1">
      <alignment vertical="top" wrapText="1"/>
      <protection hidden="1"/>
    </xf>
    <xf numFmtId="0" fontId="17" fillId="0" borderId="0" xfId="0" applyFont="1" applyFill="1" applyBorder="1" applyAlignment="1" applyProtection="1">
      <alignment horizontal="center" vertical="top"/>
      <protection hidden="1"/>
    </xf>
    <xf numFmtId="0" fontId="0" fillId="0" borderId="0" xfId="0" applyAlignment="1" applyProtection="1">
      <alignment vertical="top"/>
      <protection hidden="1"/>
    </xf>
    <xf numFmtId="0" fontId="17" fillId="0" borderId="35" xfId="0" applyFont="1" applyFill="1" applyBorder="1" applyAlignment="1" applyProtection="1">
      <alignment horizontal="center" vertical="top"/>
      <protection hidden="1"/>
    </xf>
    <xf numFmtId="0" fontId="0" fillId="0" borderId="35" xfId="0" applyBorder="1" applyAlignment="1" applyProtection="1">
      <protection hidden="1"/>
    </xf>
    <xf numFmtId="0" fontId="10" fillId="0" borderId="0" xfId="0" applyFont="1"/>
    <xf numFmtId="0" fontId="63" fillId="0" borderId="0" xfId="0" applyFont="1" applyFill="1" applyBorder="1" applyAlignment="1" applyProtection="1">
      <alignment horizontal="center" vertical="top" wrapText="1"/>
      <protection hidden="1"/>
    </xf>
    <xf numFmtId="0" fontId="63" fillId="0" borderId="0" xfId="0" applyFont="1" applyAlignment="1">
      <alignment vertical="top" wrapText="1"/>
    </xf>
    <xf numFmtId="0" fontId="62" fillId="0" borderId="0" xfId="0" quotePrefix="1" applyFont="1" applyAlignment="1">
      <alignment horizontal="center" vertical="top" wrapText="1"/>
    </xf>
    <xf numFmtId="0" fontId="62" fillId="0" borderId="0" xfId="0" applyFont="1" applyAlignment="1">
      <alignment horizontal="center" vertical="top" wrapText="1"/>
    </xf>
    <xf numFmtId="0" fontId="57" fillId="0" borderId="0" xfId="35" applyFont="1" applyFill="1" applyBorder="1" applyAlignment="1" applyProtection="1">
      <alignment vertical="top" wrapText="1"/>
      <protection hidden="1"/>
    </xf>
    <xf numFmtId="0" fontId="57" fillId="0" borderId="0" xfId="35" applyFont="1" applyAlignment="1" applyProtection="1">
      <alignment vertical="top" wrapText="1"/>
    </xf>
    <xf numFmtId="0" fontId="6" fillId="0" borderId="0" xfId="35" applyFill="1" applyBorder="1" applyAlignment="1" applyProtection="1">
      <alignment vertical="top" wrapText="1"/>
      <protection hidden="1"/>
    </xf>
    <xf numFmtId="0" fontId="6" fillId="0" borderId="0" xfId="35" applyAlignment="1" applyProtection="1">
      <alignment vertical="top" wrapText="1"/>
    </xf>
    <xf numFmtId="0" fontId="57" fillId="0" borderId="0" xfId="35" applyFont="1" applyFill="1" applyBorder="1" applyAlignment="1" applyProtection="1">
      <protection hidden="1"/>
    </xf>
    <xf numFmtId="0" fontId="76" fillId="0" borderId="0" xfId="0" applyFont="1" applyAlignment="1"/>
    <xf numFmtId="0" fontId="26" fillId="0" borderId="0" xfId="0" applyFont="1" applyAlignment="1"/>
    <xf numFmtId="0" fontId="57" fillId="0" borderId="0" xfId="35" applyFont="1" applyAlignment="1" applyProtection="1"/>
    <xf numFmtId="0" fontId="6" fillId="0" borderId="0" xfId="35" applyFill="1" applyBorder="1" applyAlignment="1" applyProtection="1">
      <protection hidden="1"/>
    </xf>
    <xf numFmtId="0" fontId="75" fillId="0" borderId="0" xfId="0" applyFont="1" applyFill="1" applyBorder="1" applyAlignment="1" applyProtection="1">
      <alignment horizontal="center"/>
      <protection hidden="1"/>
    </xf>
    <xf numFmtId="0" fontId="25" fillId="0" borderId="0" xfId="35" applyFont="1" applyFill="1" applyBorder="1" applyAlignment="1" applyProtection="1">
      <protection hidden="1"/>
    </xf>
    <xf numFmtId="0" fontId="6" fillId="0" borderId="0" xfId="35" applyFill="1" applyBorder="1" applyAlignment="1" applyProtection="1">
      <alignment horizontal="center"/>
      <protection hidden="1"/>
    </xf>
    <xf numFmtId="0" fontId="58" fillId="0" borderId="147" xfId="0" applyFont="1" applyFill="1" applyBorder="1" applyAlignment="1" applyProtection="1">
      <alignment horizontal="center"/>
      <protection hidden="1"/>
    </xf>
    <xf numFmtId="0" fontId="75" fillId="0" borderId="35" xfId="0" applyFont="1" applyFill="1" applyBorder="1" applyAlignment="1" applyProtection="1">
      <alignment horizontal="center"/>
      <protection hidden="1"/>
    </xf>
    <xf numFmtId="0" fontId="26" fillId="0" borderId="35" xfId="0" applyFont="1" applyBorder="1" applyAlignment="1" applyProtection="1">
      <protection hidden="1"/>
    </xf>
    <xf numFmtId="0" fontId="6" fillId="0" borderId="0" xfId="35" applyAlignment="1" applyProtection="1">
      <protection hidden="1"/>
    </xf>
    <xf numFmtId="0" fontId="0" fillId="0" borderId="0" xfId="0" applyAlignment="1" applyProtection="1">
      <protection hidden="1"/>
    </xf>
    <xf numFmtId="0" fontId="17" fillId="0" borderId="0" xfId="0" applyFont="1" applyBorder="1" applyAlignment="1" applyProtection="1">
      <alignment horizontal="center"/>
      <protection hidden="1"/>
    </xf>
    <xf numFmtId="0" fontId="5" fillId="29" borderId="0" xfId="0" applyFont="1" applyFill="1" applyAlignment="1" applyProtection="1">
      <alignment horizontal="left" vertical="top" wrapText="1"/>
      <protection hidden="1"/>
    </xf>
    <xf numFmtId="0" fontId="5" fillId="29" borderId="0" xfId="0" applyFont="1" applyFill="1" applyAlignment="1" applyProtection="1">
      <alignment horizontal="left" wrapText="1"/>
      <protection hidden="1"/>
    </xf>
    <xf numFmtId="0" fontId="12" fillId="0" borderId="0" xfId="35" applyFont="1" applyAlignment="1" applyProtection="1">
      <protection hidden="1"/>
    </xf>
    <xf numFmtId="0" fontId="20" fillId="0" borderId="0" xfId="0" applyFont="1" applyAlignment="1" applyProtection="1">
      <protection hidden="1"/>
    </xf>
    <xf numFmtId="0" fontId="0" fillId="25" borderId="36" xfId="0" applyFill="1" applyBorder="1" applyAlignment="1" applyProtection="1">
      <alignment horizontal="center" vertical="center" textRotation="90" wrapText="1"/>
      <protection hidden="1"/>
    </xf>
    <xf numFmtId="0" fontId="0" fillId="25" borderId="11" xfId="0" applyFill="1" applyBorder="1" applyAlignment="1" applyProtection="1">
      <alignment horizontal="center" vertical="center" textRotation="90" wrapText="1"/>
      <protection hidden="1"/>
    </xf>
    <xf numFmtId="0" fontId="0" fillId="25" borderId="78" xfId="0" applyFill="1" applyBorder="1" applyAlignment="1" applyProtection="1">
      <alignment horizontal="center" vertical="center" wrapText="1"/>
      <protection hidden="1"/>
    </xf>
    <xf numFmtId="0" fontId="0" fillId="25" borderId="79" xfId="0" applyFill="1" applyBorder="1" applyAlignment="1" applyProtection="1">
      <alignment horizontal="center" vertical="center" wrapText="1"/>
      <protection hidden="1"/>
    </xf>
    <xf numFmtId="0" fontId="0" fillId="0" borderId="35" xfId="0" applyBorder="1" applyAlignment="1" applyProtection="1">
      <alignment horizontal="left"/>
      <protection hidden="1"/>
    </xf>
    <xf numFmtId="0" fontId="4" fillId="0" borderId="0" xfId="0" applyFont="1" applyFill="1" applyBorder="1" applyAlignment="1" applyProtection="1">
      <alignment vertical="top" wrapText="1"/>
      <protection hidden="1"/>
    </xf>
    <xf numFmtId="0" fontId="0" fillId="0" borderId="0" xfId="0" applyFill="1" applyBorder="1" applyAlignment="1" applyProtection="1">
      <alignment vertical="top" wrapText="1"/>
      <protection hidden="1"/>
    </xf>
    <xf numFmtId="0" fontId="17" fillId="0" borderId="35" xfId="0" applyFont="1" applyBorder="1" applyAlignment="1" applyProtection="1">
      <alignment horizontal="center"/>
      <protection hidden="1"/>
    </xf>
    <xf numFmtId="0" fontId="55" fillId="0" borderId="147" xfId="0" applyFont="1" applyBorder="1" applyAlignment="1" applyProtection="1">
      <alignment horizontal="center"/>
      <protection hidden="1"/>
    </xf>
    <xf numFmtId="0" fontId="56" fillId="0" borderId="147" xfId="0" applyFont="1" applyBorder="1" applyAlignment="1">
      <alignment horizontal="center"/>
    </xf>
    <xf numFmtId="0" fontId="82" fillId="0" borderId="216" xfId="0" applyFont="1" applyBorder="1" applyAlignment="1" applyProtection="1">
      <alignment horizontal="center" vertical="center" wrapText="1"/>
      <protection hidden="1"/>
    </xf>
    <xf numFmtId="0" fontId="0" fillId="0" borderId="217" xfId="0" applyBorder="1" applyAlignment="1" applyProtection="1">
      <alignment horizontal="center" vertical="center" wrapText="1"/>
      <protection hidden="1"/>
    </xf>
    <xf numFmtId="0" fontId="0" fillId="0" borderId="218" xfId="0" applyBorder="1" applyAlignment="1" applyProtection="1">
      <alignment horizontal="center" vertical="center" wrapText="1"/>
      <protection hidden="1"/>
    </xf>
    <xf numFmtId="0" fontId="0" fillId="0" borderId="219"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212" xfId="0" applyBorder="1" applyAlignment="1" applyProtection="1">
      <alignment horizontal="center" vertical="center" wrapText="1"/>
      <protection hidden="1"/>
    </xf>
    <xf numFmtId="0" fontId="0" fillId="0" borderId="213" xfId="0" applyBorder="1" applyAlignment="1" applyProtection="1">
      <alignment horizontal="center" vertical="center" wrapText="1"/>
      <protection hidden="1"/>
    </xf>
    <xf numFmtId="0" fontId="0" fillId="0" borderId="214" xfId="0" applyBorder="1" applyAlignment="1" applyProtection="1">
      <alignment horizontal="center" vertical="center" wrapText="1"/>
      <protection hidden="1"/>
    </xf>
    <xf numFmtId="0" fontId="0" fillId="0" borderId="215" xfId="0" applyBorder="1" applyAlignment="1" applyProtection="1">
      <alignment horizontal="center" vertical="center" wrapText="1"/>
      <protection hidden="1"/>
    </xf>
    <xf numFmtId="0" fontId="80" fillId="0" borderId="216" xfId="0" applyFont="1" applyBorder="1" applyAlignment="1">
      <alignment horizontal="center" vertical="center" wrapText="1"/>
    </xf>
    <xf numFmtId="0" fontId="80" fillId="0" borderId="217" xfId="0" applyFont="1" applyBorder="1" applyAlignment="1">
      <alignment horizontal="center" vertical="center" wrapText="1"/>
    </xf>
    <xf numFmtId="0" fontId="80" fillId="0" borderId="218" xfId="0" applyFont="1" applyBorder="1" applyAlignment="1">
      <alignment horizontal="center" vertical="center" wrapText="1"/>
    </xf>
    <xf numFmtId="0" fontId="80" fillId="0" borderId="219" xfId="0" applyFont="1" applyBorder="1" applyAlignment="1">
      <alignment horizontal="center" vertical="center" wrapText="1"/>
    </xf>
    <xf numFmtId="0" fontId="80" fillId="0" borderId="0" xfId="0" applyFont="1" applyBorder="1" applyAlignment="1">
      <alignment horizontal="center" vertical="center" wrapText="1"/>
    </xf>
    <xf numFmtId="0" fontId="80" fillId="0" borderId="212" xfId="0" applyFont="1" applyBorder="1" applyAlignment="1">
      <alignment horizontal="center" vertical="center" wrapText="1"/>
    </xf>
    <xf numFmtId="0" fontId="80" fillId="0" borderId="213" xfId="0" applyFont="1" applyBorder="1" applyAlignment="1">
      <alignment horizontal="center" vertical="center" wrapText="1"/>
    </xf>
    <xf numFmtId="0" fontId="80" fillId="0" borderId="214" xfId="0" applyFont="1" applyBorder="1" applyAlignment="1">
      <alignment horizontal="center" vertical="center" wrapText="1"/>
    </xf>
    <xf numFmtId="0" fontId="80" fillId="0" borderId="215" xfId="0" applyFont="1" applyBorder="1" applyAlignment="1">
      <alignment horizontal="center" vertical="center" wrapText="1"/>
    </xf>
    <xf numFmtId="0" fontId="10" fillId="0" borderId="0" xfId="0" applyFont="1" applyBorder="1" applyAlignment="1" applyProtection="1">
      <alignment horizontal="left" vertical="top" wrapText="1"/>
      <protection hidden="1"/>
    </xf>
    <xf numFmtId="0" fontId="0" fillId="0" borderId="0" xfId="0" applyAlignment="1">
      <alignment horizontal="left" vertical="top" wrapText="1"/>
    </xf>
    <xf numFmtId="0" fontId="10" fillId="0" borderId="0" xfId="0" applyFont="1" applyAlignment="1" applyProtection="1">
      <alignment vertical="top" wrapText="1"/>
      <protection hidden="1"/>
    </xf>
    <xf numFmtId="0" fontId="0" fillId="0" borderId="0" xfId="0" applyAlignment="1">
      <alignment vertical="top" wrapText="1"/>
    </xf>
    <xf numFmtId="0" fontId="1" fillId="0" borderId="0" xfId="0" applyFont="1" applyFill="1" applyBorder="1" applyAlignment="1">
      <alignment horizontal="left" vertical="top" wrapText="1"/>
    </xf>
    <xf numFmtId="0" fontId="83" fillId="0" borderId="0" xfId="0" applyFont="1" applyFill="1" applyBorder="1" applyAlignment="1">
      <alignment horizontal="left" vertical="top" wrapText="1"/>
    </xf>
    <xf numFmtId="0" fontId="80" fillId="0" borderId="216" xfId="0" applyFont="1" applyFill="1" applyBorder="1" applyAlignment="1">
      <alignment horizontal="center" vertical="center" wrapText="1"/>
    </xf>
    <xf numFmtId="0" fontId="80" fillId="0" borderId="217" xfId="0" applyFont="1" applyFill="1" applyBorder="1" applyAlignment="1">
      <alignment horizontal="center" vertical="center" wrapText="1"/>
    </xf>
    <xf numFmtId="0" fontId="80" fillId="0" borderId="218" xfId="0" applyFont="1" applyFill="1" applyBorder="1" applyAlignment="1">
      <alignment horizontal="center" vertical="center" wrapText="1"/>
    </xf>
    <xf numFmtId="0" fontId="80" fillId="0" borderId="219"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0" fillId="0" borderId="212" xfId="0" applyFont="1" applyFill="1" applyBorder="1" applyAlignment="1">
      <alignment horizontal="center" vertical="center" wrapText="1"/>
    </xf>
    <xf numFmtId="0" fontId="80" fillId="0" borderId="213" xfId="0" applyFont="1" applyFill="1" applyBorder="1" applyAlignment="1">
      <alignment horizontal="center" vertical="center" wrapText="1"/>
    </xf>
    <xf numFmtId="0" fontId="80" fillId="0" borderId="214" xfId="0" applyFont="1" applyFill="1" applyBorder="1" applyAlignment="1">
      <alignment horizontal="center" vertical="center" wrapText="1"/>
    </xf>
    <xf numFmtId="0" fontId="80" fillId="0" borderId="215" xfId="0" applyFont="1" applyFill="1" applyBorder="1" applyAlignment="1">
      <alignment horizontal="center" vertical="center" wrapText="1"/>
    </xf>
    <xf numFmtId="0" fontId="17" fillId="0" borderId="0" xfId="0" applyFont="1" applyAlignment="1" applyProtection="1">
      <alignment horizontal="center"/>
      <protection hidden="1"/>
    </xf>
    <xf numFmtId="0" fontId="13" fillId="29" borderId="0" xfId="0" applyFont="1" applyFill="1" applyAlignment="1" applyProtection="1">
      <alignment horizontal="left" vertical="top"/>
      <protection hidden="1"/>
    </xf>
    <xf numFmtId="0" fontId="12" fillId="0" borderId="0" xfId="35" applyFont="1" applyAlignment="1" applyProtection="1">
      <alignment wrapText="1"/>
      <protection hidden="1"/>
    </xf>
    <xf numFmtId="0" fontId="9" fillId="29" borderId="36" xfId="0" applyFont="1" applyFill="1" applyBorder="1" applyAlignment="1" applyProtection="1">
      <alignment horizontal="center" vertical="center" textRotation="90" wrapText="1"/>
      <protection hidden="1"/>
    </xf>
    <xf numFmtId="0" fontId="0" fillId="29" borderId="78" xfId="0" applyFill="1" applyBorder="1" applyAlignment="1" applyProtection="1">
      <alignment horizontal="center" vertical="center" textRotation="90" wrapText="1"/>
      <protection hidden="1"/>
    </xf>
    <xf numFmtId="0" fontId="0" fillId="29" borderId="79" xfId="0" applyFill="1" applyBorder="1" applyAlignment="1" applyProtection="1">
      <alignment horizontal="center" vertical="center" textRotation="90" wrapText="1"/>
      <protection hidden="1"/>
    </xf>
    <xf numFmtId="0" fontId="9" fillId="29" borderId="13" xfId="0" applyFont="1" applyFill="1" applyBorder="1" applyAlignment="1" applyProtection="1">
      <alignment horizontal="left" vertical="center" textRotation="90" wrapText="1"/>
      <protection hidden="1"/>
    </xf>
    <xf numFmtId="0" fontId="0" fillId="29" borderId="11" xfId="0" applyFill="1" applyBorder="1" applyAlignment="1" applyProtection="1">
      <alignment horizontal="left" vertical="center" textRotation="90" wrapText="1"/>
      <protection hidden="1"/>
    </xf>
    <xf numFmtId="0" fontId="0" fillId="29" borderId="12" xfId="0" applyFill="1" applyBorder="1" applyAlignment="1" applyProtection="1">
      <alignment horizontal="left" vertical="center" textRotation="90" wrapText="1"/>
      <protection hidden="1"/>
    </xf>
    <xf numFmtId="0" fontId="5" fillId="40" borderId="0" xfId="0" applyFont="1" applyFill="1" applyAlignment="1" applyProtection="1">
      <alignment horizontal="left"/>
      <protection hidden="1"/>
    </xf>
    <xf numFmtId="164" fontId="0" fillId="0" borderId="39" xfId="0" applyNumberFormat="1" applyBorder="1" applyAlignment="1" applyProtection="1">
      <alignment horizontal="center"/>
      <protection hidden="1"/>
    </xf>
    <xf numFmtId="0" fontId="0" fillId="0" borderId="38" xfId="0" applyBorder="1" applyAlignment="1">
      <alignment horizontal="center"/>
    </xf>
    <xf numFmtId="0" fontId="0" fillId="0" borderId="40" xfId="0" applyBorder="1" applyAlignment="1">
      <alignment horizontal="center"/>
    </xf>
    <xf numFmtId="0" fontId="4" fillId="0" borderId="0" xfId="0" applyFont="1" applyAlignment="1">
      <alignment vertical="top" wrapText="1"/>
    </xf>
    <xf numFmtId="0" fontId="0" fillId="0" borderId="0" xfId="0" applyBorder="1" applyAlignment="1">
      <alignment vertical="top" wrapText="1"/>
    </xf>
    <xf numFmtId="0" fontId="80" fillId="0" borderId="216" xfId="0" applyFont="1" applyBorder="1" applyAlignment="1" applyProtection="1">
      <alignment horizontal="center" vertical="center" wrapText="1"/>
      <protection hidden="1"/>
    </xf>
    <xf numFmtId="0" fontId="5" fillId="29" borderId="0" xfId="0" applyFont="1" applyFill="1" applyAlignment="1" applyProtection="1">
      <alignment horizontal="left"/>
      <protection hidden="1"/>
    </xf>
    <xf numFmtId="0" fontId="5" fillId="36" borderId="33" xfId="0" applyFont="1" applyFill="1" applyBorder="1" applyAlignment="1" applyProtection="1">
      <protection hidden="1"/>
    </xf>
    <xf numFmtId="0" fontId="5" fillId="36" borderId="34" xfId="0" applyFont="1" applyFill="1" applyBorder="1" applyAlignment="1" applyProtection="1">
      <protection hidden="1"/>
    </xf>
    <xf numFmtId="0" fontId="0" fillId="0" borderId="34" xfId="0" applyBorder="1" applyAlignment="1"/>
    <xf numFmtId="0" fontId="4" fillId="0" borderId="0" xfId="0" applyFont="1" applyBorder="1" applyAlignment="1" applyProtection="1">
      <alignment vertical="top" wrapText="1"/>
      <protection hidden="1"/>
    </xf>
    <xf numFmtId="0" fontId="17" fillId="0" borderId="0" xfId="0" applyFont="1" applyFill="1" applyBorder="1" applyAlignment="1" applyProtection="1">
      <alignment horizontal="center"/>
      <protection hidden="1"/>
    </xf>
    <xf numFmtId="0" fontId="17" fillId="0" borderId="0" xfId="0" applyFont="1" applyFill="1" applyAlignment="1" applyProtection="1">
      <alignment horizontal="center"/>
      <protection hidden="1"/>
    </xf>
    <xf numFmtId="0" fontId="5" fillId="29" borderId="13" xfId="0" applyFont="1" applyFill="1" applyBorder="1" applyAlignment="1" applyProtection="1">
      <alignment horizontal="left" vertical="top"/>
      <protection hidden="1"/>
    </xf>
    <xf numFmtId="0" fontId="0" fillId="29" borderId="14" xfId="0" applyFill="1" applyBorder="1" applyAlignment="1" applyProtection="1">
      <alignment horizontal="left" vertical="top"/>
      <protection hidden="1"/>
    </xf>
    <xf numFmtId="0" fontId="0" fillId="29" borderId="15" xfId="0" applyFill="1" applyBorder="1" applyAlignment="1" applyProtection="1">
      <alignment horizontal="left" vertical="top"/>
      <protection hidden="1"/>
    </xf>
    <xf numFmtId="174" fontId="0" fillId="0" borderId="13" xfId="0" applyNumberFormat="1" applyFill="1" applyBorder="1" applyAlignment="1" applyProtection="1">
      <alignment horizontal="center" wrapText="1"/>
      <protection hidden="1"/>
    </xf>
    <xf numFmtId="174" fontId="0" fillId="0" borderId="14" xfId="0" applyNumberFormat="1" applyFill="1" applyBorder="1" applyAlignment="1" applyProtection="1">
      <alignment horizontal="center" wrapText="1"/>
      <protection hidden="1"/>
    </xf>
    <xf numFmtId="174" fontId="0" fillId="0" borderId="15" xfId="0" applyNumberFormat="1" applyFill="1" applyBorder="1" applyAlignment="1" applyProtection="1">
      <alignment horizontal="center" wrapText="1"/>
      <protection hidden="1"/>
    </xf>
    <xf numFmtId="174" fontId="0" fillId="0" borderId="34" xfId="0" applyNumberFormat="1" applyFill="1" applyBorder="1" applyAlignment="1" applyProtection="1">
      <alignment horizontal="center" wrapText="1"/>
      <protection hidden="1"/>
    </xf>
    <xf numFmtId="174" fontId="0" fillId="0" borderId="33" xfId="0" applyNumberFormat="1" applyFill="1" applyBorder="1" applyAlignment="1" applyProtection="1">
      <alignment horizontal="center" wrapText="1"/>
      <protection hidden="1"/>
    </xf>
    <xf numFmtId="174" fontId="0" fillId="0" borderId="37" xfId="0" applyNumberFormat="1" applyFill="1" applyBorder="1" applyAlignment="1" applyProtection="1">
      <alignment horizontal="center" wrapText="1"/>
      <protection hidden="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0" xfId="0" applyBorder="1" applyAlignment="1">
      <alignment horizontal="center" vertical="center" wrapText="1"/>
    </xf>
    <xf numFmtId="0" fontId="0" fillId="0" borderId="212" xfId="0" applyBorder="1" applyAlignment="1">
      <alignment horizontal="center" vertical="center" wrapText="1"/>
    </xf>
    <xf numFmtId="0" fontId="0" fillId="0" borderId="214" xfId="0" applyBorder="1" applyAlignment="1">
      <alignment horizontal="center" vertical="center" wrapText="1"/>
    </xf>
    <xf numFmtId="0" fontId="0" fillId="0" borderId="215" xfId="0" applyBorder="1" applyAlignment="1">
      <alignment horizontal="center" vertical="center" wrapText="1"/>
    </xf>
    <xf numFmtId="0" fontId="0" fillId="0" borderId="0" xfId="0" applyBorder="1" applyAlignment="1" applyProtection="1">
      <alignment vertical="top" wrapText="1"/>
      <protection hidden="1"/>
    </xf>
    <xf numFmtId="0" fontId="10" fillId="0" borderId="0" xfId="0" applyFont="1" applyBorder="1" applyAlignment="1" applyProtection="1">
      <alignment vertical="top" wrapText="1"/>
      <protection hidden="1"/>
    </xf>
    <xf numFmtId="0" fontId="12" fillId="0" borderId="0" xfId="35" applyFont="1" applyBorder="1" applyAlignment="1" applyProtection="1">
      <protection hidden="1"/>
    </xf>
    <xf numFmtId="0" fontId="11" fillId="0" borderId="33" xfId="0" applyFont="1" applyFill="1" applyBorder="1" applyAlignment="1" applyProtection="1">
      <alignment horizontal="center" vertical="top"/>
      <protection hidden="1"/>
    </xf>
    <xf numFmtId="0" fontId="11" fillId="0" borderId="34" xfId="0" applyFont="1" applyFill="1" applyBorder="1" applyAlignment="1" applyProtection="1">
      <alignment horizontal="center" vertical="top"/>
      <protection hidden="1"/>
    </xf>
    <xf numFmtId="0" fontId="11" fillId="0" borderId="37" xfId="0" applyFont="1" applyFill="1" applyBorder="1" applyAlignment="1" applyProtection="1">
      <alignment horizontal="center" vertical="top"/>
      <protection hidden="1"/>
    </xf>
    <xf numFmtId="0" fontId="13" fillId="29" borderId="0" xfId="0" applyFont="1" applyFill="1" applyAlignment="1" applyProtection="1">
      <alignment horizontal="left" vertical="top" wrapText="1"/>
      <protection hidden="1"/>
    </xf>
    <xf numFmtId="0" fontId="17" fillId="0" borderId="35" xfId="0" applyFont="1" applyFill="1" applyBorder="1" applyAlignment="1" applyProtection="1">
      <alignment horizontal="center"/>
      <protection hidden="1"/>
    </xf>
    <xf numFmtId="0" fontId="1" fillId="0" borderId="93" xfId="0" applyFont="1" applyFill="1" applyBorder="1" applyAlignment="1" applyProtection="1">
      <alignment horizontal="center" vertical="top" wrapText="1"/>
      <protection hidden="1"/>
    </xf>
    <xf numFmtId="0" fontId="1" fillId="0" borderId="100" xfId="0" applyFont="1" applyFill="1" applyBorder="1" applyAlignment="1" applyProtection="1">
      <alignment horizontal="center" vertical="top" wrapText="1"/>
      <protection hidden="1"/>
    </xf>
    <xf numFmtId="0" fontId="1" fillId="0" borderId="80" xfId="0" applyFont="1" applyFill="1" applyBorder="1" applyAlignment="1" applyProtection="1">
      <alignment horizontal="center" vertical="top" wrapText="1"/>
      <protection hidden="1"/>
    </xf>
    <xf numFmtId="0" fontId="1" fillId="0" borderId="106" xfId="0" applyFont="1" applyFill="1" applyBorder="1" applyAlignment="1" applyProtection="1">
      <alignment horizontal="center" vertical="top" wrapText="1"/>
      <protection hidden="1"/>
    </xf>
    <xf numFmtId="0" fontId="1" fillId="0" borderId="107" xfId="0" applyFont="1" applyFill="1" applyBorder="1" applyAlignment="1" applyProtection="1">
      <alignment horizontal="center" vertical="top" wrapText="1"/>
      <protection hidden="1"/>
    </xf>
    <xf numFmtId="0" fontId="1" fillId="0" borderId="108" xfId="0" applyFont="1" applyFill="1" applyBorder="1" applyAlignment="1" applyProtection="1">
      <alignment horizontal="center" vertical="top" wrapText="1"/>
      <protection hidden="1"/>
    </xf>
    <xf numFmtId="0" fontId="5" fillId="29" borderId="0" xfId="0" applyFont="1" applyFill="1" applyAlignment="1" applyProtection="1">
      <alignment horizontal="left" vertical="top"/>
      <protection hidden="1"/>
    </xf>
    <xf numFmtId="0" fontId="0" fillId="0" borderId="0" xfId="0" applyNumberFormat="1" applyFill="1" applyBorder="1" applyAlignment="1" applyProtection="1">
      <alignment vertical="top" wrapText="1"/>
      <protection hidden="1"/>
    </xf>
    <xf numFmtId="0" fontId="4" fillId="0" borderId="0" xfId="0" applyFont="1" applyAlignment="1" applyProtection="1">
      <alignment vertical="top" wrapText="1"/>
      <protection hidden="1"/>
    </xf>
    <xf numFmtId="0" fontId="0" fillId="0" borderId="0" xfId="0" applyAlignment="1" applyProtection="1">
      <alignment vertical="top" wrapText="1"/>
      <protection hidden="1"/>
    </xf>
    <xf numFmtId="0" fontId="5" fillId="36" borderId="13" xfId="0" applyFont="1" applyFill="1" applyBorder="1" applyAlignment="1" applyProtection="1">
      <alignment vertical="center"/>
      <protection hidden="1"/>
    </xf>
    <xf numFmtId="0" fontId="0" fillId="0" borderId="12" xfId="0" applyBorder="1" applyAlignment="1" applyProtection="1">
      <alignment vertical="center"/>
      <protection hidden="1"/>
    </xf>
    <xf numFmtId="0" fontId="0" fillId="0" borderId="0" xfId="0" applyNumberFormat="1" applyBorder="1" applyAlignment="1">
      <alignment horizontal="center"/>
    </xf>
    <xf numFmtId="0" fontId="0" fillId="0" borderId="0" xfId="0" applyNumberFormat="1" applyAlignment="1"/>
    <xf numFmtId="0" fontId="0" fillId="0" borderId="10" xfId="0" applyNumberFormat="1" applyBorder="1" applyAlignment="1"/>
    <xf numFmtId="0" fontId="0" fillId="0" borderId="39" xfId="0" applyBorder="1" applyAlignment="1" applyProtection="1">
      <alignment horizontal="center"/>
      <protection hidden="1"/>
    </xf>
    <xf numFmtId="0" fontId="0" fillId="0" borderId="38" xfId="0" applyBorder="1" applyAlignment="1" applyProtection="1">
      <alignment horizontal="center"/>
      <protection hidden="1"/>
    </xf>
    <xf numFmtId="0" fontId="0" fillId="0" borderId="40" xfId="0" applyBorder="1" applyAlignment="1" applyProtection="1">
      <protection hidden="1"/>
    </xf>
    <xf numFmtId="0" fontId="11" fillId="0" borderId="39" xfId="0" applyFont="1" applyBorder="1" applyAlignment="1" applyProtection="1">
      <alignment horizontal="center"/>
      <protection hidden="1"/>
    </xf>
    <xf numFmtId="0" fontId="0" fillId="0" borderId="38" xfId="0" applyBorder="1" applyAlignment="1" applyProtection="1">
      <protection hidden="1"/>
    </xf>
    <xf numFmtId="0" fontId="10" fillId="0" borderId="0" xfId="0" applyFont="1" applyAlignment="1" applyProtection="1">
      <protection hidden="1"/>
    </xf>
    <xf numFmtId="0" fontId="13" fillId="29" borderId="11" xfId="0" applyFont="1" applyFill="1" applyBorder="1" applyAlignment="1" applyProtection="1">
      <protection hidden="1"/>
    </xf>
    <xf numFmtId="0" fontId="10" fillId="29" borderId="0" xfId="0" applyFont="1" applyFill="1" applyBorder="1" applyAlignment="1" applyProtection="1">
      <protection hidden="1"/>
    </xf>
    <xf numFmtId="0" fontId="10" fillId="29" borderId="10" xfId="0" applyFont="1" applyFill="1" applyBorder="1" applyAlignment="1" applyProtection="1">
      <protection hidden="1"/>
    </xf>
    <xf numFmtId="0" fontId="0" fillId="0" borderId="0" xfId="0" applyBorder="1" applyAlignment="1" applyProtection="1">
      <alignment horizontal="center" vertical="center" textRotation="90" wrapText="1"/>
      <protection hidden="1"/>
    </xf>
    <xf numFmtId="0" fontId="5" fillId="34" borderId="13" xfId="0" applyFont="1" applyFill="1" applyBorder="1" applyAlignment="1" applyProtection="1">
      <alignment horizontal="center" vertical="center" textRotation="90" wrapText="1"/>
      <protection hidden="1"/>
    </xf>
    <xf numFmtId="0" fontId="5" fillId="34" borderId="11" xfId="0" applyFont="1" applyFill="1" applyBorder="1" applyAlignment="1" applyProtection="1">
      <alignment horizontal="center" vertical="center" textRotation="90" wrapText="1"/>
      <protection hidden="1"/>
    </xf>
    <xf numFmtId="0" fontId="5" fillId="34" borderId="12" xfId="0" applyFont="1" applyFill="1" applyBorder="1" applyAlignment="1" applyProtection="1">
      <alignment horizontal="center" vertical="center" textRotation="90" wrapText="1"/>
      <protection hidden="1"/>
    </xf>
    <xf numFmtId="0" fontId="4" fillId="0" borderId="0" xfId="0" applyFont="1" applyBorder="1" applyAlignment="1" applyProtection="1">
      <alignment vertical="top"/>
      <protection hidden="1"/>
    </xf>
    <xf numFmtId="0" fontId="0" fillId="0" borderId="33" xfId="0" applyFill="1" applyBorder="1" applyAlignment="1">
      <alignment horizontal="center"/>
    </xf>
    <xf numFmtId="0" fontId="0" fillId="0" borderId="34" xfId="0" applyFill="1" applyBorder="1" applyAlignment="1">
      <alignment horizontal="center"/>
    </xf>
    <xf numFmtId="0" fontId="0" fillId="0" borderId="37" xfId="0" applyFill="1" applyBorder="1" applyAlignment="1">
      <alignment horizontal="center"/>
    </xf>
    <xf numFmtId="0" fontId="14" fillId="44" borderId="0" xfId="0" applyFont="1" applyFill="1" applyBorder="1" applyAlignment="1">
      <alignment horizontal="center" vertical="center" wrapText="1"/>
    </xf>
    <xf numFmtId="0" fontId="0" fillId="0" borderId="0" xfId="0" applyAlignment="1">
      <alignment horizontal="center" vertical="center" wrapText="1"/>
    </xf>
    <xf numFmtId="0" fontId="6" fillId="25" borderId="0" xfId="35" applyFill="1" applyBorder="1" applyAlignment="1" applyProtection="1">
      <alignment vertical="top"/>
    </xf>
    <xf numFmtId="0" fontId="0" fillId="0" borderId="0" xfId="0" applyBorder="1" applyAlignment="1">
      <alignment vertical="top"/>
    </xf>
    <xf numFmtId="0" fontId="9" fillId="44" borderId="0" xfId="0" applyFont="1" applyFill="1" applyBorder="1" applyAlignment="1">
      <alignment horizontal="center" vertical="top"/>
    </xf>
    <xf numFmtId="0" fontId="6" fillId="25" borderId="0" xfId="35" applyFill="1" applyBorder="1" applyAlignment="1" applyProtection="1">
      <alignment horizontal="left" vertical="top" wrapText="1"/>
    </xf>
    <xf numFmtId="0" fontId="0" fillId="25" borderId="0" xfId="0" applyFill="1" applyBorder="1" applyAlignment="1">
      <alignment vertical="top" wrapText="1"/>
    </xf>
    <xf numFmtId="0" fontId="6" fillId="25" borderId="0" xfId="35" applyFill="1" applyBorder="1" applyAlignment="1" applyProtection="1">
      <alignment vertical="top" wrapText="1"/>
      <protection hidden="1"/>
    </xf>
    <xf numFmtId="0" fontId="6" fillId="0" borderId="0" xfId="35" applyBorder="1" applyAlignment="1" applyProtection="1">
      <alignment vertical="top" wrapText="1"/>
    </xf>
    <xf numFmtId="0" fontId="0" fillId="25" borderId="0" xfId="0" applyNumberFormat="1" applyFill="1" applyBorder="1" applyAlignment="1">
      <alignment vertical="top" wrapText="1"/>
    </xf>
    <xf numFmtId="0" fontId="6" fillId="25" borderId="0" xfId="35" applyFont="1" applyFill="1" applyBorder="1" applyAlignment="1" applyProtection="1">
      <alignment vertical="top" wrapText="1"/>
      <protection hidden="1"/>
    </xf>
    <xf numFmtId="0" fontId="0" fillId="25" borderId="0" xfId="0" applyNumberFormat="1" applyFill="1" applyBorder="1" applyAlignment="1" applyProtection="1">
      <alignment vertical="top" wrapText="1"/>
      <protection hidden="1"/>
    </xf>
    <xf numFmtId="0" fontId="0" fillId="25" borderId="11" xfId="0" applyFill="1" applyBorder="1" applyAlignment="1" applyProtection="1">
      <alignment vertical="top" wrapText="1"/>
      <protection hidden="1"/>
    </xf>
    <xf numFmtId="0" fontId="0" fillId="25" borderId="0" xfId="0" applyFill="1" applyBorder="1" applyAlignment="1" applyProtection="1">
      <alignment vertical="top" wrapText="1"/>
      <protection hidden="1"/>
    </xf>
    <xf numFmtId="0" fontId="0" fillId="25" borderId="10" xfId="0" applyFill="1" applyBorder="1" applyAlignment="1" applyProtection="1">
      <alignment vertical="top" wrapText="1"/>
      <protection hidden="1"/>
    </xf>
    <xf numFmtId="0" fontId="0" fillId="25" borderId="12" xfId="0" applyFill="1" applyBorder="1" applyAlignment="1" applyProtection="1">
      <alignment vertical="top" wrapText="1"/>
      <protection hidden="1"/>
    </xf>
    <xf numFmtId="0" fontId="0" fillId="25" borderId="16" xfId="0" applyFill="1" applyBorder="1" applyAlignment="1" applyProtection="1">
      <alignment vertical="top" wrapText="1"/>
      <protection hidden="1"/>
    </xf>
    <xf numFmtId="0" fontId="0" fillId="25" borderId="17" xfId="0" applyFill="1" applyBorder="1" applyAlignment="1" applyProtection="1">
      <alignment vertical="top" wrapText="1"/>
      <protection hidden="1"/>
    </xf>
    <xf numFmtId="0" fontId="11" fillId="0" borderId="12" xfId="0" applyFont="1" applyFill="1" applyBorder="1" applyAlignment="1" applyProtection="1">
      <alignment horizontal="center" vertical="top" wrapText="1"/>
      <protection hidden="1"/>
    </xf>
    <xf numFmtId="0" fontId="11" fillId="0" borderId="16" xfId="0" applyFont="1" applyBorder="1" applyAlignment="1" applyProtection="1">
      <alignment horizontal="center" vertical="top" wrapText="1"/>
      <protection hidden="1"/>
    </xf>
    <xf numFmtId="0" fontId="11" fillId="0" borderId="17" xfId="0" applyFont="1" applyBorder="1" applyAlignment="1" applyProtection="1">
      <alignment horizontal="center" vertical="top" wrapText="1"/>
      <protection hidden="1"/>
    </xf>
    <xf numFmtId="0" fontId="5" fillId="40" borderId="13" xfId="0" applyFont="1" applyFill="1" applyBorder="1" applyAlignment="1" applyProtection="1">
      <alignment horizontal="left" wrapText="1"/>
      <protection hidden="1"/>
    </xf>
    <xf numFmtId="0" fontId="5" fillId="40" borderId="14" xfId="0" applyFont="1" applyFill="1" applyBorder="1" applyAlignment="1" applyProtection="1">
      <alignment horizontal="left" wrapText="1"/>
      <protection hidden="1"/>
    </xf>
    <xf numFmtId="0" fontId="5" fillId="40" borderId="15" xfId="0" applyFont="1" applyFill="1" applyBorder="1" applyAlignment="1" applyProtection="1">
      <alignment horizontal="left" wrapText="1"/>
      <protection hidden="1"/>
    </xf>
    <xf numFmtId="0" fontId="12" fillId="0" borderId="0" xfId="0" applyFont="1" applyAlignment="1" applyProtection="1">
      <protection hidden="1"/>
    </xf>
    <xf numFmtId="0" fontId="4" fillId="0" borderId="0" xfId="0" applyFont="1" applyFill="1" applyBorder="1" applyAlignment="1" applyProtection="1">
      <alignment vertical="center" wrapText="1"/>
      <protection hidden="1"/>
    </xf>
    <xf numFmtId="0" fontId="0" fillId="0" borderId="0" xfId="0" applyAlignment="1">
      <alignment vertical="center" wrapText="1"/>
    </xf>
    <xf numFmtId="0" fontId="0" fillId="0" borderId="0" xfId="0" applyFill="1" applyBorder="1" applyAlignment="1" applyProtection="1">
      <protection hidden="1"/>
    </xf>
    <xf numFmtId="0" fontId="0" fillId="0" borderId="0" xfId="0" applyAlignment="1" applyProtection="1">
      <alignment horizontal="left" vertical="top" wrapText="1"/>
      <protection hidden="1"/>
    </xf>
    <xf numFmtId="0" fontId="0" fillId="0" borderId="106" xfId="0" applyBorder="1" applyAlignment="1" applyProtection="1">
      <alignment horizontal="center"/>
      <protection hidden="1"/>
    </xf>
    <xf numFmtId="0" fontId="0" fillId="0" borderId="107" xfId="0" applyBorder="1" applyAlignment="1" applyProtection="1">
      <alignment horizontal="center"/>
      <protection hidden="1"/>
    </xf>
    <xf numFmtId="0" fontId="12" fillId="0" borderId="0" xfId="35" applyFont="1" applyAlignment="1" applyProtection="1">
      <alignment horizontal="center"/>
      <protection hidden="1"/>
    </xf>
    <xf numFmtId="0" fontId="12" fillId="0" borderId="0" xfId="35" applyFont="1" applyAlignment="1" applyProtection="1">
      <alignment horizontal="left"/>
      <protection hidden="1"/>
    </xf>
    <xf numFmtId="0" fontId="4" fillId="0" borderId="0" xfId="0" applyFont="1" applyAlignment="1" applyProtection="1">
      <alignment horizontal="left" vertical="top" wrapText="1"/>
      <protection hidden="1"/>
    </xf>
    <xf numFmtId="0" fontId="5" fillId="36" borderId="97" xfId="0" applyFont="1" applyFill="1" applyBorder="1" applyAlignment="1" applyProtection="1">
      <alignment horizontal="left"/>
      <protection hidden="1"/>
    </xf>
    <xf numFmtId="0" fontId="5" fillId="36" borderId="98" xfId="0" applyFont="1" applyFill="1" applyBorder="1" applyAlignment="1">
      <alignment horizontal="left"/>
    </xf>
    <xf numFmtId="0" fontId="0" fillId="0" borderId="99" xfId="0" applyBorder="1" applyAlignment="1"/>
    <xf numFmtId="0" fontId="5" fillId="36" borderId="58" xfId="0" applyFont="1" applyFill="1" applyBorder="1" applyAlignment="1" applyProtection="1">
      <alignment horizontal="left"/>
      <protection hidden="1"/>
    </xf>
    <xf numFmtId="0" fontId="5" fillId="36" borderId="38" xfId="0" applyFont="1" applyFill="1" applyBorder="1" applyAlignment="1">
      <alignment horizontal="left"/>
    </xf>
    <xf numFmtId="0" fontId="0" fillId="0" borderId="104" xfId="0" applyBorder="1" applyAlignment="1">
      <alignment horizontal="left"/>
    </xf>
    <xf numFmtId="3" fontId="10" fillId="0" borderId="0" xfId="0" applyNumberFormat="1" applyFont="1" applyFill="1" applyBorder="1" applyAlignment="1">
      <alignment horizontal="center"/>
    </xf>
    <xf numFmtId="0" fontId="10" fillId="0" borderId="0" xfId="0" applyFont="1" applyFill="1" applyBorder="1" applyAlignment="1">
      <alignment horizontal="center"/>
    </xf>
    <xf numFmtId="0" fontId="0" fillId="0" borderId="0" xfId="0" applyAlignment="1">
      <alignment horizontal="center"/>
    </xf>
    <xf numFmtId="0" fontId="13" fillId="29" borderId="0" xfId="0" applyFont="1" applyFill="1" applyAlignment="1" applyProtection="1">
      <protection hidden="1"/>
    </xf>
    <xf numFmtId="0" fontId="0" fillId="29" borderId="0" xfId="0" applyFill="1" applyAlignment="1" applyProtection="1">
      <protection hidden="1"/>
    </xf>
    <xf numFmtId="0" fontId="1" fillId="0" borderId="0" xfId="0" applyFont="1" applyAlignment="1" applyProtection="1">
      <alignment horizontal="left" vertical="top" wrapText="1"/>
      <protection hidden="1"/>
    </xf>
    <xf numFmtId="0" fontId="0" fillId="35" borderId="14" xfId="0" applyFill="1" applyBorder="1" applyAlignment="1" applyProtection="1">
      <alignment horizontal="center"/>
      <protection hidden="1"/>
    </xf>
    <xf numFmtId="0" fontId="0" fillId="35" borderId="14" xfId="0" applyFill="1" applyBorder="1" applyAlignment="1">
      <alignment horizontal="center"/>
    </xf>
    <xf numFmtId="1" fontId="0" fillId="35" borderId="34" xfId="0" applyNumberFormat="1" applyFill="1" applyBorder="1" applyAlignment="1" applyProtection="1">
      <alignment horizontal="center"/>
      <protection hidden="1"/>
    </xf>
    <xf numFmtId="0" fontId="0" fillId="43" borderId="34" xfId="0" applyFill="1" applyBorder="1" applyAlignment="1"/>
    <xf numFmtId="0" fontId="4" fillId="0" borderId="0" xfId="0" applyFont="1" applyAlignment="1" applyProtection="1">
      <alignment vertical="top"/>
      <protection hidden="1"/>
    </xf>
    <xf numFmtId="0" fontId="0" fillId="0" borderId="0" xfId="0" applyAlignment="1">
      <alignment vertical="top"/>
    </xf>
    <xf numFmtId="0" fontId="1" fillId="0" borderId="0" xfId="0" applyFont="1" applyFill="1" applyAlignment="1" applyProtection="1">
      <alignment vertical="top" wrapText="1"/>
      <protection hidden="1"/>
    </xf>
    <xf numFmtId="0" fontId="1" fillId="0" borderId="0" xfId="0" applyFont="1" applyAlignment="1">
      <alignment vertical="top" wrapText="1"/>
    </xf>
    <xf numFmtId="0" fontId="4" fillId="0" borderId="0" xfId="0" applyFont="1" applyFill="1" applyAlignment="1" applyProtection="1">
      <alignment vertical="top" wrapText="1"/>
      <protection hidden="1"/>
    </xf>
    <xf numFmtId="0" fontId="80" fillId="0" borderId="216" xfId="0" applyFont="1" applyFill="1" applyBorder="1" applyAlignment="1" applyProtection="1">
      <alignment horizontal="center" vertical="center" wrapText="1"/>
      <protection hidden="1"/>
    </xf>
    <xf numFmtId="0" fontId="0" fillId="0" borderId="0" xfId="0" applyNumberFormat="1" applyBorder="1" applyAlignment="1" applyProtection="1">
      <alignment vertical="top" wrapText="1"/>
      <protection hidden="1"/>
    </xf>
    <xf numFmtId="0" fontId="4" fillId="0" borderId="0" xfId="0" applyNumberFormat="1" applyFont="1" applyFill="1" applyBorder="1" applyAlignment="1" applyProtection="1">
      <alignment vertical="top" wrapText="1"/>
      <protection hidden="1"/>
    </xf>
    <xf numFmtId="0" fontId="80" fillId="0" borderId="216" xfId="0" applyNumberFormat="1" applyFont="1" applyFill="1" applyBorder="1" applyAlignment="1" applyProtection="1">
      <alignment horizontal="center" vertical="center" wrapText="1"/>
      <protection hidden="1"/>
    </xf>
    <xf numFmtId="0" fontId="17" fillId="0" borderId="35" xfId="0" applyNumberFormat="1" applyFont="1" applyBorder="1" applyAlignment="1" applyProtection="1">
      <alignment horizontal="center"/>
      <protection hidden="1"/>
    </xf>
    <xf numFmtId="0" fontId="17" fillId="0" borderId="0" xfId="0" applyNumberFormat="1" applyFont="1" applyBorder="1" applyAlignment="1" applyProtection="1">
      <alignment horizontal="center"/>
      <protection hidden="1"/>
    </xf>
    <xf numFmtId="0" fontId="12" fillId="0" borderId="0" xfId="35" applyFont="1" applyBorder="1" applyAlignment="1" applyProtection="1">
      <alignment wrapText="1"/>
      <protection hidden="1"/>
    </xf>
    <xf numFmtId="0" fontId="17" fillId="0" borderId="0" xfId="0" quotePrefix="1" applyNumberFormat="1" applyFont="1" applyBorder="1" applyAlignment="1" applyProtection="1">
      <alignment horizontal="center"/>
      <protection hidden="1"/>
    </xf>
    <xf numFmtId="0" fontId="0" fillId="0" borderId="0" xfId="0" applyAlignment="1">
      <alignment horizontal="center" wrapText="1"/>
    </xf>
    <xf numFmtId="0" fontId="12" fillId="0" borderId="0" xfId="35" applyFont="1" applyAlignment="1" applyProtection="1"/>
    <xf numFmtId="0" fontId="12" fillId="0" borderId="0" xfId="35" applyFont="1" applyAlignment="1" applyProtection="1">
      <alignment horizontal="left"/>
    </xf>
    <xf numFmtId="0" fontId="17" fillId="0" borderId="0" xfId="0" applyFont="1" applyAlignment="1">
      <alignment horizontal="center"/>
    </xf>
    <xf numFmtId="0" fontId="0" fillId="0" borderId="0" xfId="0" applyAlignment="1">
      <alignment wrapText="1"/>
    </xf>
    <xf numFmtId="49" fontId="0" fillId="0" borderId="0" xfId="0" applyNumberFormat="1" applyAlignment="1">
      <alignment horizontal="left" vertical="top" wrapText="1"/>
    </xf>
    <xf numFmtId="0" fontId="6" fillId="0" borderId="0" xfId="35" applyAlignment="1" applyProtection="1"/>
    <xf numFmtId="0" fontId="12" fillId="0" borderId="0" xfId="35" applyFont="1" applyAlignment="1" applyProtection="1">
      <alignment vertical="top" wrapText="1"/>
    </xf>
    <xf numFmtId="0" fontId="11" fillId="0" borderId="220" xfId="0" applyFont="1" applyFill="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7" fillId="0" borderId="0" xfId="0" applyFont="1" applyFill="1" applyAlignment="1">
      <alignment horizontal="center"/>
    </xf>
    <xf numFmtId="0" fontId="24" fillId="0" borderId="35" xfId="0" applyFont="1" applyFill="1" applyBorder="1" applyAlignment="1">
      <alignment horizontal="center"/>
    </xf>
    <xf numFmtId="0" fontId="4" fillId="0" borderId="0" xfId="0" applyFont="1" applyBorder="1"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11" fillId="0" borderId="0" xfId="0" applyFont="1" applyAlignment="1" applyProtection="1">
      <alignment vertical="top" wrapText="1"/>
      <protection hidden="1"/>
    </xf>
    <xf numFmtId="0" fontId="4" fillId="0" borderId="0" xfId="0" quotePrefix="1" applyFont="1" applyAlignment="1">
      <alignment vertical="top" wrapText="1"/>
    </xf>
    <xf numFmtId="0" fontId="80" fillId="0" borderId="217" xfId="0" applyFont="1" applyBorder="1" applyAlignment="1" applyProtection="1">
      <alignment horizontal="center" vertical="center" wrapText="1"/>
      <protection hidden="1"/>
    </xf>
    <xf numFmtId="0" fontId="80" fillId="0" borderId="218" xfId="0" applyFont="1" applyBorder="1" applyAlignment="1" applyProtection="1">
      <alignment horizontal="center" vertical="center" wrapText="1"/>
      <protection hidden="1"/>
    </xf>
    <xf numFmtId="0" fontId="80" fillId="0" borderId="219" xfId="0" applyFont="1" applyBorder="1" applyAlignment="1" applyProtection="1">
      <alignment horizontal="center" vertical="center" wrapText="1"/>
      <protection hidden="1"/>
    </xf>
    <xf numFmtId="0" fontId="80" fillId="0" borderId="0" xfId="0" applyFont="1" applyBorder="1" applyAlignment="1" applyProtection="1">
      <alignment horizontal="center" vertical="center" wrapText="1"/>
      <protection hidden="1"/>
    </xf>
    <xf numFmtId="0" fontId="80" fillId="0" borderId="212" xfId="0" applyFont="1" applyBorder="1" applyAlignment="1" applyProtection="1">
      <alignment horizontal="center" vertical="center" wrapText="1"/>
      <protection hidden="1"/>
    </xf>
    <xf numFmtId="0" fontId="80" fillId="0" borderId="213" xfId="0" applyFont="1" applyBorder="1" applyAlignment="1" applyProtection="1">
      <alignment horizontal="center" vertical="center" wrapText="1"/>
      <protection hidden="1"/>
    </xf>
    <xf numFmtId="0" fontId="80" fillId="0" borderId="214" xfId="0" applyFont="1" applyBorder="1" applyAlignment="1" applyProtection="1">
      <alignment horizontal="center" vertical="center" wrapText="1"/>
      <protection hidden="1"/>
    </xf>
    <xf numFmtId="0" fontId="80" fillId="0" borderId="215" xfId="0" applyFont="1" applyBorder="1" applyAlignment="1" applyProtection="1">
      <alignment horizontal="center" vertical="center" wrapText="1"/>
      <protection hidden="1"/>
    </xf>
    <xf numFmtId="0" fontId="12" fillId="0" borderId="0" xfId="35" applyFont="1" applyAlignment="1" applyProtection="1">
      <alignment vertical="top" wrapText="1"/>
      <protection hidden="1"/>
    </xf>
    <xf numFmtId="0" fontId="12" fillId="0" borderId="0" xfId="35" applyFont="1" applyAlignment="1" applyProtection="1">
      <alignment horizontal="left" vertical="top" wrapText="1"/>
      <protection hidden="1"/>
    </xf>
    <xf numFmtId="0" fontId="55" fillId="0" borderId="147" xfId="0" applyFont="1" applyBorder="1" applyAlignment="1">
      <alignment horizontal="center"/>
    </xf>
    <xf numFmtId="0" fontId="6" fillId="0" borderId="0" xfId="35" applyAlignment="1" applyProtection="1">
      <alignment vertical="top" wrapText="1"/>
      <protection hidden="1"/>
    </xf>
    <xf numFmtId="0" fontId="0" fillId="0" borderId="124" xfId="0" applyBorder="1" applyAlignment="1">
      <alignment vertical="center" wrapText="1"/>
    </xf>
    <xf numFmtId="0" fontId="0" fillId="0" borderId="122" xfId="0" applyBorder="1" applyAlignment="1">
      <alignment vertical="center" wrapText="1"/>
    </xf>
    <xf numFmtId="0" fontId="0" fillId="0" borderId="0" xfId="0" applyAlignment="1"/>
    <xf numFmtId="0" fontId="0" fillId="0" borderId="122" xfId="0" applyBorder="1" applyAlignment="1" applyProtection="1">
      <alignment vertical="center" wrapText="1"/>
      <protection hidden="1"/>
    </xf>
    <xf numFmtId="0" fontId="0" fillId="0" borderId="0" xfId="0" applyBorder="1" applyAlignment="1">
      <alignment wrapText="1"/>
    </xf>
    <xf numFmtId="0" fontId="74" fillId="0" borderId="0" xfId="0" applyFont="1" applyBorder="1" applyAlignment="1">
      <alignment vertical="center" wrapText="1"/>
    </xf>
    <xf numFmtId="0" fontId="72" fillId="0" borderId="0" xfId="35" applyFont="1" applyBorder="1" applyAlignment="1" applyProtection="1">
      <alignment horizontal="center"/>
      <protection hidden="1"/>
    </xf>
    <xf numFmtId="0" fontId="72" fillId="0" borderId="0" xfId="35" applyFont="1" applyBorder="1" applyAlignment="1" applyProtection="1">
      <alignment horizontal="center"/>
    </xf>
    <xf numFmtId="0" fontId="0" fillId="0" borderId="122" xfId="0" applyBorder="1" applyAlignment="1" applyProtection="1">
      <protection hidden="1"/>
    </xf>
    <xf numFmtId="0" fontId="5" fillId="28" borderId="122" xfId="0" applyFont="1" applyFill="1" applyBorder="1" applyAlignment="1" applyProtection="1">
      <protection hidden="1"/>
    </xf>
    <xf numFmtId="0" fontId="6" fillId="0" borderId="0" xfId="35" applyAlignment="1" applyProtection="1">
      <alignment horizontal="left"/>
      <protection hidden="1"/>
    </xf>
    <xf numFmtId="0" fontId="1" fillId="0" borderId="0" xfId="35" applyFont="1" applyAlignment="1" applyProtection="1">
      <alignment vertical="top" wrapText="1"/>
      <protection hidden="1"/>
    </xf>
    <xf numFmtId="0" fontId="0" fillId="0" borderId="0" xfId="0" applyBorder="1" applyAlignment="1" applyProtection="1">
      <alignment horizontal="left" vertical="top" wrapText="1"/>
      <protection hidden="1"/>
    </xf>
    <xf numFmtId="0" fontId="1" fillId="0" borderId="0" xfId="0" applyFont="1" applyFill="1" applyBorder="1" applyAlignment="1" applyProtection="1">
      <alignment horizontal="left" vertical="top" wrapText="1"/>
      <protection hidden="1"/>
    </xf>
    <xf numFmtId="0" fontId="1" fillId="0" borderId="0" xfId="0" applyFont="1" applyFill="1" applyBorder="1" applyAlignment="1">
      <alignment vertical="top" wrapText="1"/>
    </xf>
    <xf numFmtId="0" fontId="4" fillId="0" borderId="122" xfId="0" quotePrefix="1" applyFont="1" applyBorder="1" applyAlignment="1" applyProtection="1">
      <alignment horizontal="center" vertical="top" wrapText="1"/>
      <protection hidden="1"/>
    </xf>
    <xf numFmtId="0" fontId="0" fillId="0" borderId="122" xfId="0" applyBorder="1" applyAlignment="1">
      <alignment horizontal="center" vertical="top" wrapText="1"/>
    </xf>
    <xf numFmtId="0" fontId="0" fillId="0" borderId="122" xfId="0" applyBorder="1" applyAlignment="1"/>
    <xf numFmtId="0" fontId="0" fillId="0" borderId="122" xfId="0" applyBorder="1" applyAlignment="1" applyProtection="1">
      <alignment vertical="top" wrapText="1"/>
      <protection hidden="1"/>
    </xf>
    <xf numFmtId="0" fontId="0" fillId="0" borderId="122" xfId="0" applyBorder="1" applyAlignment="1">
      <alignment vertical="top" wrapText="1"/>
    </xf>
    <xf numFmtId="0" fontId="0" fillId="0" borderId="124" xfId="0" applyBorder="1" applyAlignment="1"/>
    <xf numFmtId="164" fontId="0" fillId="0" borderId="124" xfId="0" applyNumberFormat="1" applyBorder="1" applyAlignment="1" applyProtection="1">
      <alignment horizontal="center"/>
      <protection hidden="1"/>
    </xf>
    <xf numFmtId="0" fontId="0" fillId="0" borderId="126" xfId="0" applyBorder="1" applyAlignment="1">
      <alignment horizontal="center"/>
    </xf>
    <xf numFmtId="0" fontId="0" fillId="0" borderId="129" xfId="0" applyBorder="1" applyAlignment="1">
      <alignment horizontal="center"/>
    </xf>
    <xf numFmtId="0" fontId="49" fillId="0" borderId="124" xfId="0" quotePrefix="1" applyFont="1" applyBorder="1" applyAlignment="1">
      <alignment vertical="top"/>
    </xf>
    <xf numFmtId="0" fontId="49" fillId="0" borderId="126" xfId="0" applyFont="1" applyBorder="1" applyAlignment="1">
      <alignment vertical="top"/>
    </xf>
    <xf numFmtId="0" fontId="49" fillId="0" borderId="129" xfId="0" applyFont="1" applyBorder="1" applyAlignment="1">
      <alignment vertical="top"/>
    </xf>
    <xf numFmtId="0" fontId="5" fillId="40" borderId="122" xfId="0" applyFont="1" applyFill="1" applyBorder="1" applyAlignment="1" applyProtection="1">
      <alignment horizontal="center"/>
      <protection hidden="1"/>
    </xf>
    <xf numFmtId="0" fontId="0" fillId="0" borderId="122" xfId="0" applyBorder="1" applyAlignment="1" applyProtection="1">
      <alignment horizontal="center"/>
      <protection hidden="1"/>
    </xf>
    <xf numFmtId="0" fontId="4" fillId="0" borderId="122" xfId="0" applyFont="1" applyBorder="1" applyAlignment="1" applyProtection="1">
      <alignment horizontal="left"/>
      <protection hidden="1"/>
    </xf>
    <xf numFmtId="0" fontId="4" fillId="0" borderId="122" xfId="0" applyFont="1" applyBorder="1" applyAlignment="1">
      <alignment horizontal="left"/>
    </xf>
    <xf numFmtId="0" fontId="1" fillId="0" borderId="0" xfId="0" applyFont="1" applyBorder="1" applyAlignment="1">
      <alignment vertical="top" wrapText="1"/>
    </xf>
    <xf numFmtId="0" fontId="4" fillId="0" borderId="0" xfId="0" applyFont="1" applyFill="1" applyBorder="1" applyAlignment="1">
      <alignment horizontal="left" vertical="top" wrapText="1"/>
    </xf>
    <xf numFmtId="0" fontId="1" fillId="0" borderId="122" xfId="0" applyFont="1" applyFill="1" applyBorder="1" applyAlignment="1">
      <alignment horizontal="center"/>
    </xf>
    <xf numFmtId="0" fontId="10" fillId="0" borderId="0" xfId="0" applyFont="1" applyBorder="1" applyAlignment="1">
      <alignment vertical="top" wrapText="1"/>
    </xf>
    <xf numFmtId="0" fontId="0" fillId="0" borderId="122" xfId="0" applyFill="1" applyBorder="1" applyAlignment="1">
      <alignment horizontal="center"/>
    </xf>
    <xf numFmtId="0" fontId="55" fillId="0" borderId="147" xfId="0" applyFont="1" applyBorder="1" applyAlignment="1">
      <alignment horizontal="center" vertical="top" wrapText="1"/>
    </xf>
    <xf numFmtId="0" fontId="6" fillId="0" borderId="0" xfId="35" applyAlignment="1" applyProtection="1">
      <alignment vertical="top"/>
      <protection hidden="1"/>
    </xf>
    <xf numFmtId="0" fontId="6" fillId="0" borderId="0" xfId="35" applyAlignment="1" applyProtection="1">
      <alignment vertical="top"/>
    </xf>
    <xf numFmtId="0" fontId="0" fillId="0" borderId="122" xfId="0" applyBorder="1" applyAlignment="1" applyProtection="1">
      <alignment horizontal="left" vertical="top" wrapText="1"/>
      <protection hidden="1"/>
    </xf>
    <xf numFmtId="0" fontId="0" fillId="0" borderId="122" xfId="0" applyBorder="1" applyAlignment="1">
      <alignment horizontal="left" vertical="top" wrapText="1"/>
    </xf>
    <xf numFmtId="0" fontId="0" fillId="0" borderId="123" xfId="0" applyBorder="1" applyAlignment="1">
      <alignment horizontal="left" vertical="top" wrapText="1"/>
    </xf>
    <xf numFmtId="0" fontId="0" fillId="0" borderId="122" xfId="0" quotePrefix="1" applyBorder="1" applyAlignment="1" applyProtection="1">
      <alignment horizontal="center"/>
      <protection hidden="1"/>
    </xf>
    <xf numFmtId="0" fontId="0" fillId="0" borderId="122" xfId="0" applyBorder="1" applyAlignment="1" applyProtection="1">
      <alignment wrapText="1"/>
      <protection hidden="1"/>
    </xf>
    <xf numFmtId="0" fontId="0" fillId="0" borderId="124" xfId="0" applyBorder="1" applyAlignment="1" applyProtection="1">
      <alignment wrapText="1"/>
      <protection hidden="1"/>
    </xf>
    <xf numFmtId="0" fontId="80" fillId="0" borderId="217" xfId="0" applyFont="1" applyFill="1" applyBorder="1" applyAlignment="1" applyProtection="1">
      <alignment horizontal="center" vertical="center" wrapText="1"/>
      <protection hidden="1"/>
    </xf>
    <xf numFmtId="0" fontId="80" fillId="0" borderId="218" xfId="0" applyFont="1" applyFill="1" applyBorder="1" applyAlignment="1" applyProtection="1">
      <alignment horizontal="center" vertical="center" wrapText="1"/>
      <protection hidden="1"/>
    </xf>
    <xf numFmtId="0" fontId="80" fillId="0" borderId="219" xfId="0" applyFont="1" applyFill="1" applyBorder="1" applyAlignment="1" applyProtection="1">
      <alignment horizontal="center" vertical="center" wrapText="1"/>
      <protection hidden="1"/>
    </xf>
    <xf numFmtId="0" fontId="80" fillId="0" borderId="0" xfId="0" applyFont="1" applyFill="1" applyBorder="1" applyAlignment="1" applyProtection="1">
      <alignment horizontal="center" vertical="center" wrapText="1"/>
      <protection hidden="1"/>
    </xf>
    <xf numFmtId="0" fontId="80" fillId="0" borderId="212" xfId="0" applyFont="1" applyFill="1" applyBorder="1" applyAlignment="1" applyProtection="1">
      <alignment horizontal="center" vertical="center" wrapText="1"/>
      <protection hidden="1"/>
    </xf>
    <xf numFmtId="0" fontId="80" fillId="0" borderId="213" xfId="0" applyFont="1" applyFill="1" applyBorder="1" applyAlignment="1" applyProtection="1">
      <alignment horizontal="center" vertical="center" wrapText="1"/>
      <protection hidden="1"/>
    </xf>
    <xf numFmtId="0" fontId="80" fillId="0" borderId="214" xfId="0" applyFont="1" applyFill="1" applyBorder="1" applyAlignment="1" applyProtection="1">
      <alignment horizontal="center" vertical="center" wrapText="1"/>
      <protection hidden="1"/>
    </xf>
    <xf numFmtId="0" fontId="80" fillId="0" borderId="215" xfId="0" applyFont="1" applyFill="1" applyBorder="1" applyAlignment="1" applyProtection="1">
      <alignment horizontal="center" vertical="center" wrapText="1"/>
      <protection hidden="1"/>
    </xf>
    <xf numFmtId="0" fontId="6" fillId="0" borderId="0" xfId="35" applyBorder="1" applyAlignment="1" applyProtection="1">
      <alignment vertical="top" wrapText="1"/>
      <protection hidden="1"/>
    </xf>
    <xf numFmtId="0" fontId="0" fillId="42" borderId="0" xfId="0" applyFill="1" applyAlignment="1">
      <alignment vertical="top" wrapText="1"/>
    </xf>
    <xf numFmtId="0" fontId="55" fillId="0" borderId="0" xfId="0" applyFont="1" applyAlignment="1" applyProtection="1">
      <alignment horizontal="center"/>
      <protection hidden="1"/>
    </xf>
    <xf numFmtId="0" fontId="0" fillId="0" borderId="166" xfId="0" applyBorder="1" applyAlignment="1" applyProtection="1">
      <alignment vertical="top" wrapText="1"/>
      <protection hidden="1"/>
    </xf>
    <xf numFmtId="0" fontId="0" fillId="0" borderId="186" xfId="0" applyBorder="1" applyAlignment="1">
      <alignment vertical="top" wrapText="1"/>
    </xf>
    <xf numFmtId="0" fontId="0" fillId="0" borderId="158" xfId="0" applyBorder="1" applyAlignment="1">
      <alignment vertical="top" wrapText="1"/>
    </xf>
    <xf numFmtId="0" fontId="0" fillId="0" borderId="205" xfId="0" applyBorder="1" applyAlignment="1">
      <alignment vertical="top" wrapText="1"/>
    </xf>
    <xf numFmtId="0" fontId="0" fillId="0" borderId="221" xfId="0" applyBorder="1" applyAlignment="1">
      <alignment vertical="top" wrapText="1"/>
    </xf>
    <xf numFmtId="0" fontId="0" fillId="0" borderId="159" xfId="0" applyBorder="1" applyAlignment="1">
      <alignment vertical="top" wrapText="1"/>
    </xf>
    <xf numFmtId="0" fontId="0" fillId="0" borderId="13" xfId="0" applyBorder="1" applyAlignment="1" applyProtection="1">
      <alignment vertical="top" wrapText="1"/>
      <protection hidden="1"/>
    </xf>
    <xf numFmtId="0" fontId="0" fillId="0" borderId="14" xfId="0" applyBorder="1" applyAlignment="1">
      <alignment vertical="top" wrapText="1"/>
    </xf>
    <xf numFmtId="0" fontId="0" fillId="0" borderId="15" xfId="0" applyBorder="1" applyAlignment="1">
      <alignment vertical="top" wrapText="1"/>
    </xf>
    <xf numFmtId="0" fontId="0" fillId="0" borderId="11" xfId="0"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3" xfId="0" applyBorder="1" applyAlignment="1" applyProtection="1">
      <alignment wrapText="1"/>
      <protection hidden="1"/>
    </xf>
    <xf numFmtId="0" fontId="0" fillId="0" borderId="14" xfId="0" applyBorder="1" applyAlignment="1" applyProtection="1">
      <alignment wrapText="1"/>
      <protection hidden="1"/>
    </xf>
    <xf numFmtId="0" fontId="0" fillId="0" borderId="15" xfId="0" applyBorder="1" applyAlignment="1" applyProtection="1">
      <alignment wrapText="1"/>
      <protection hidden="1"/>
    </xf>
    <xf numFmtId="0" fontId="0" fillId="0" borderId="11" xfId="0" applyBorder="1" applyAlignment="1" applyProtection="1">
      <alignment wrapText="1"/>
      <protection hidden="1"/>
    </xf>
    <xf numFmtId="0" fontId="0" fillId="0" borderId="0" xfId="0" applyBorder="1" applyAlignment="1" applyProtection="1">
      <alignment wrapText="1"/>
      <protection hidden="1"/>
    </xf>
    <xf numFmtId="0" fontId="0" fillId="0" borderId="10" xfId="0" applyBorder="1" applyAlignment="1" applyProtection="1">
      <alignment wrapText="1"/>
      <protection hidden="1"/>
    </xf>
    <xf numFmtId="0" fontId="0" fillId="0" borderId="12" xfId="0" applyBorder="1" applyAlignment="1" applyProtection="1">
      <alignment wrapText="1"/>
      <protection hidden="1"/>
    </xf>
    <xf numFmtId="0" fontId="0" fillId="0" borderId="16" xfId="0" applyBorder="1" applyAlignment="1" applyProtection="1">
      <alignment wrapText="1"/>
      <protection hidden="1"/>
    </xf>
    <xf numFmtId="0" fontId="0" fillId="0" borderId="17" xfId="0" applyBorder="1" applyAlignment="1" applyProtection="1">
      <alignment wrapText="1"/>
      <protection hidden="1"/>
    </xf>
    <xf numFmtId="0" fontId="4" fillId="0" borderId="222" xfId="0" applyFont="1" applyFill="1" applyBorder="1" applyAlignment="1" applyProtection="1">
      <alignment horizontal="left"/>
      <protection hidden="1"/>
    </xf>
    <xf numFmtId="0" fontId="4" fillId="0" borderId="223" xfId="0" applyFont="1" applyFill="1" applyBorder="1" applyAlignment="1" applyProtection="1">
      <alignment horizontal="left"/>
      <protection hidden="1"/>
    </xf>
    <xf numFmtId="0" fontId="4" fillId="0" borderId="224" xfId="0" applyFont="1" applyFill="1" applyBorder="1" applyAlignment="1" applyProtection="1">
      <alignment horizontal="left"/>
      <protection hidden="1"/>
    </xf>
    <xf numFmtId="0" fontId="46" fillId="0" borderId="186" xfId="0" applyFont="1" applyBorder="1" applyAlignment="1" applyProtection="1">
      <alignment wrapText="1"/>
      <protection hidden="1"/>
    </xf>
    <xf numFmtId="0" fontId="0" fillId="0" borderId="158" xfId="0" applyBorder="1" applyAlignment="1" applyProtection="1">
      <alignment wrapText="1"/>
      <protection hidden="1"/>
    </xf>
    <xf numFmtId="0" fontId="0" fillId="0" borderId="225" xfId="0" applyBorder="1" applyAlignment="1" applyProtection="1">
      <alignment wrapText="1"/>
      <protection hidden="1"/>
    </xf>
    <xf numFmtId="0" fontId="4" fillId="0" borderId="226" xfId="0" applyFont="1" applyFill="1" applyBorder="1" applyAlignment="1" applyProtection="1">
      <alignment horizontal="left" wrapText="1"/>
      <protection hidden="1"/>
    </xf>
    <xf numFmtId="0" fontId="4" fillId="0" borderId="227" xfId="0" applyFont="1" applyFill="1" applyBorder="1" applyAlignment="1" applyProtection="1">
      <protection hidden="1"/>
    </xf>
    <xf numFmtId="0" fontId="4" fillId="0" borderId="228" xfId="0" applyFont="1" applyFill="1" applyBorder="1" applyAlignment="1" applyProtection="1">
      <protection hidden="1"/>
    </xf>
    <xf numFmtId="0" fontId="0" fillId="0" borderId="222" xfId="0" applyBorder="1" applyAlignment="1" applyProtection="1">
      <alignment vertical="center" wrapText="1"/>
      <protection hidden="1"/>
    </xf>
    <xf numFmtId="0" fontId="0" fillId="0" borderId="224" xfId="0" applyBorder="1" applyAlignment="1" applyProtection="1">
      <alignment vertical="center" wrapText="1"/>
      <protection hidden="1"/>
    </xf>
    <xf numFmtId="0" fontId="0" fillId="0" borderId="160" xfId="0" applyBorder="1" applyAlignment="1" applyProtection="1">
      <alignment vertical="center" wrapText="1"/>
      <protection hidden="1"/>
    </xf>
    <xf numFmtId="0" fontId="0" fillId="0" borderId="161" xfId="0" applyBorder="1" applyAlignment="1" applyProtection="1">
      <alignment vertical="center" wrapText="1"/>
      <protection hidden="1"/>
    </xf>
    <xf numFmtId="0" fontId="0" fillId="0" borderId="162" xfId="0" applyBorder="1" applyAlignment="1" applyProtection="1">
      <alignment vertical="center" wrapText="1"/>
      <protection hidden="1"/>
    </xf>
    <xf numFmtId="0" fontId="0" fillId="0" borderId="164" xfId="0" applyBorder="1" applyAlignment="1" applyProtection="1">
      <alignment vertical="center" wrapText="1"/>
      <protection hidden="1"/>
    </xf>
    <xf numFmtId="0" fontId="11" fillId="0" borderId="122" xfId="0" applyFont="1" applyFill="1" applyBorder="1" applyAlignment="1" applyProtection="1">
      <alignment horizontal="center"/>
      <protection hidden="1"/>
    </xf>
    <xf numFmtId="0" fontId="11" fillId="0" borderId="124" xfId="0" applyFont="1" applyFill="1" applyBorder="1" applyAlignment="1" applyProtection="1">
      <alignment horizontal="center"/>
      <protection hidden="1"/>
    </xf>
    <xf numFmtId="0" fontId="0" fillId="0" borderId="126" xfId="0" applyFill="1" applyBorder="1" applyAlignment="1">
      <alignment horizontal="center"/>
    </xf>
    <xf numFmtId="0" fontId="11" fillId="0" borderId="122" xfId="0" applyFont="1" applyFill="1" applyBorder="1" applyAlignment="1" applyProtection="1">
      <alignment horizontal="center" vertical="top" wrapText="1"/>
      <protection hidden="1"/>
    </xf>
    <xf numFmtId="0" fontId="11" fillId="0" borderId="122" xfId="0" applyFont="1" applyFill="1" applyBorder="1" applyAlignment="1" applyProtection="1">
      <alignment horizontal="center" wrapText="1"/>
      <protection hidden="1"/>
    </xf>
    <xf numFmtId="15" fontId="13" fillId="36" borderId="126" xfId="0" applyNumberFormat="1" applyFont="1" applyFill="1" applyBorder="1" applyAlignment="1" applyProtection="1">
      <alignment horizontal="center"/>
      <protection locked="0"/>
    </xf>
    <xf numFmtId="0" fontId="0" fillId="0" borderId="129" xfId="0" applyBorder="1" applyAlignment="1" applyProtection="1">
      <alignment horizontal="center"/>
      <protection locked="0"/>
    </xf>
    <xf numFmtId="15" fontId="10" fillId="0" borderId="126" xfId="0" applyNumberFormat="1" applyFont="1" applyFill="1" applyBorder="1" applyAlignment="1" applyProtection="1">
      <alignment horizontal="center"/>
      <protection hidden="1"/>
    </xf>
    <xf numFmtId="15" fontId="0" fillId="0" borderId="124" xfId="0" applyNumberFormat="1" applyFill="1" applyBorder="1" applyAlignment="1" applyProtection="1">
      <alignment horizontal="center"/>
    </xf>
    <xf numFmtId="0" fontId="0" fillId="0" borderId="129" xfId="0" applyFill="1" applyBorder="1" applyAlignment="1">
      <alignment horizontal="center"/>
    </xf>
    <xf numFmtId="0" fontId="6" fillId="0" borderId="39" xfId="35" applyBorder="1" applyAlignment="1" applyProtection="1"/>
    <xf numFmtId="0" fontId="6" fillId="0" borderId="38" xfId="35" applyBorder="1" applyAlignment="1" applyProtection="1"/>
    <xf numFmtId="0" fontId="6" fillId="0" borderId="40" xfId="35" applyBorder="1" applyAlignment="1" applyProtection="1"/>
    <xf numFmtId="0" fontId="0" fillId="0" borderId="39" xfId="0" applyBorder="1" applyAlignment="1">
      <alignment horizontal="center"/>
    </xf>
    <xf numFmtId="0" fontId="11" fillId="0" borderId="39" xfId="0" applyFont="1" applyBorder="1" applyAlignment="1"/>
    <xf numFmtId="0" fontId="0" fillId="0" borderId="38" xfId="0" applyBorder="1" applyAlignment="1"/>
    <xf numFmtId="0" fontId="0" fillId="0" borderId="40" xfId="0" applyBorder="1" applyAlignment="1"/>
    <xf numFmtId="0" fontId="0" fillId="0" borderId="39" xfId="0" applyBorder="1" applyAlignment="1"/>
    <xf numFmtId="0" fontId="0" fillId="0" borderId="116" xfId="0" applyBorder="1" applyAlignment="1"/>
    <xf numFmtId="0" fontId="0" fillId="0" borderId="147" xfId="0" applyBorder="1" applyAlignment="1"/>
    <xf numFmtId="0" fontId="0" fillId="0" borderId="148" xfId="0" applyBorder="1" applyAlignment="1"/>
    <xf numFmtId="0" fontId="6" fillId="0" borderId="116" xfId="35" applyBorder="1" applyAlignment="1" applyProtection="1"/>
    <xf numFmtId="0" fontId="6" fillId="0" borderId="147" xfId="35" applyBorder="1" applyAlignment="1" applyProtection="1"/>
    <xf numFmtId="0" fontId="6" fillId="0" borderId="148" xfId="35" applyBorder="1" applyAlignment="1" applyProtection="1"/>
    <xf numFmtId="0" fontId="0" fillId="0" borderId="116" xfId="0" applyBorder="1" applyAlignment="1">
      <alignment horizontal="center"/>
    </xf>
    <xf numFmtId="0" fontId="0" fillId="0" borderId="148" xfId="0" applyBorder="1" applyAlignment="1">
      <alignment horizontal="center"/>
    </xf>
    <xf numFmtId="0" fontId="0" fillId="0" borderId="122" xfId="0" applyBorder="1" applyAlignment="1">
      <alignment horizontal="center"/>
    </xf>
    <xf numFmtId="0" fontId="6" fillId="0" borderId="122" xfId="35" applyFont="1" applyBorder="1" applyAlignment="1" applyProtection="1"/>
    <xf numFmtId="0" fontId="6" fillId="0" borderId="122" xfId="35" applyBorder="1" applyAlignment="1" applyProtection="1"/>
    <xf numFmtId="0" fontId="0" fillId="0" borderId="122" xfId="0" applyBorder="1"/>
    <xf numFmtId="0" fontId="19" fillId="0" borderId="0" xfId="35" applyFont="1" applyAlignment="1" applyProtection="1">
      <alignment horizontal="center"/>
    </xf>
    <xf numFmtId="0" fontId="55"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0" fillId="0" borderId="33" xfId="0" applyBorder="1" applyAlignment="1">
      <alignment horizontal="center"/>
    </xf>
    <xf numFmtId="0" fontId="0" fillId="0" borderId="34" xfId="0" applyBorder="1" applyAlignment="1">
      <alignment horizontal="center"/>
    </xf>
    <xf numFmtId="0" fontId="0" fillId="0" borderId="37" xfId="0" applyBorder="1" applyAlignment="1">
      <alignment horizontal="center"/>
    </xf>
  </cellXfs>
  <cellStyles count="46">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LongDate" xfId="38" xr:uid="{00000000-0005-0000-0000-000024000000}"/>
    <cellStyle name="Neutral" xfId="39" builtinId="28" customBuiltin="1"/>
    <cellStyle name="Normal" xfId="0" builtinId="0"/>
    <cellStyle name="Note" xfId="40" builtinId="10" customBuiltin="1"/>
    <cellStyle name="Output" xfId="41" builtinId="21" customBuiltin="1"/>
    <cellStyle name="Percent" xfId="42" builtinId="5"/>
    <cellStyle name="Style 1" xfId="1" xr:uid="{00000000-0005-0000-0000-00002A000000}"/>
    <cellStyle name="Title" xfId="43" builtinId="15" customBuiltin="1"/>
    <cellStyle name="Total" xfId="44" builtinId="25" customBuiltin="1"/>
    <cellStyle name="Warning Text" xfId="45" builtinId="11" customBuiltin="1"/>
  </cellStyles>
  <dxfs count="101">
    <dxf>
      <fill>
        <patternFill>
          <bgColor indexed="45"/>
        </patternFill>
      </fill>
    </dxf>
    <dxf>
      <fill>
        <patternFill>
          <bgColor indexed="40"/>
        </patternFill>
      </fill>
    </dxf>
    <dxf>
      <fill>
        <patternFill>
          <bgColor indexed="26"/>
        </patternFill>
      </fill>
    </dxf>
    <dxf>
      <fill>
        <patternFill>
          <bgColor indexed="11"/>
        </patternFill>
      </fill>
    </dxf>
    <dxf>
      <fill>
        <patternFill>
          <bgColor indexed="13"/>
        </patternFill>
      </fill>
    </dxf>
    <dxf>
      <font>
        <condense val="0"/>
        <extend val="0"/>
        <color indexed="9"/>
      </font>
      <fill>
        <patternFill>
          <bgColor indexed="10"/>
        </patternFill>
      </fill>
    </dxf>
    <dxf>
      <fill>
        <patternFill>
          <bgColor indexed="41"/>
        </patternFill>
      </fill>
    </dxf>
    <dxf>
      <font>
        <condense val="0"/>
        <extend val="0"/>
        <color indexed="9"/>
      </font>
      <fill>
        <patternFill>
          <bgColor indexed="10"/>
        </patternFill>
      </fill>
    </dxf>
    <dxf>
      <fill>
        <patternFill>
          <bgColor indexed="41"/>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41"/>
        </patternFill>
      </fill>
    </dxf>
    <dxf>
      <font>
        <condense val="0"/>
        <extend val="0"/>
        <color indexed="9"/>
      </font>
      <fill>
        <patternFill>
          <bgColor indexed="10"/>
        </patternFill>
      </fill>
    </dxf>
    <dxf>
      <fill>
        <patternFill>
          <bgColor indexed="41"/>
        </patternFill>
      </fill>
    </dxf>
    <dxf>
      <font>
        <condense val="0"/>
        <extend val="0"/>
        <color indexed="9"/>
      </font>
      <fill>
        <patternFill>
          <bgColor indexed="10"/>
        </patternFill>
      </fill>
    </dxf>
    <dxf>
      <fill>
        <patternFill>
          <bgColor indexed="41"/>
        </patternFill>
      </fill>
    </dxf>
    <dxf>
      <font>
        <condense val="0"/>
        <extend val="0"/>
        <color indexed="9"/>
      </font>
      <fill>
        <patternFill>
          <bgColor indexed="10"/>
        </patternFill>
      </fill>
    </dxf>
    <dxf>
      <fill>
        <patternFill>
          <bgColor indexed="41"/>
        </patternFill>
      </fill>
    </dxf>
    <dxf>
      <fill>
        <patternFill>
          <bgColor indexed="51"/>
        </patternFill>
      </fill>
    </dxf>
    <dxf>
      <font>
        <condense val="0"/>
        <extend val="0"/>
        <color indexed="9"/>
      </font>
      <fill>
        <patternFill>
          <bgColor indexed="10"/>
        </patternFill>
      </fill>
    </dxf>
    <dxf>
      <fill>
        <patternFill>
          <bgColor indexed="41"/>
        </patternFill>
      </fill>
    </dxf>
    <dxf>
      <fill>
        <patternFill>
          <bgColor indexed="41"/>
        </patternFill>
      </fill>
    </dxf>
    <dxf>
      <font>
        <condense val="0"/>
        <extend val="0"/>
        <color indexed="9"/>
      </font>
      <fill>
        <patternFill>
          <bgColor indexed="10"/>
        </patternFill>
      </fill>
    </dxf>
    <dxf>
      <fill>
        <patternFill>
          <bgColor indexed="22"/>
        </patternFill>
      </fill>
    </dxf>
    <dxf>
      <font>
        <b/>
        <i val="0"/>
        <condense val="0"/>
        <extend val="0"/>
        <color indexed="9"/>
      </font>
      <fill>
        <patternFill>
          <bgColor indexed="23"/>
        </patternFill>
      </fill>
    </dxf>
    <dxf>
      <fill>
        <patternFill>
          <bgColor indexed="22"/>
        </patternFill>
      </fill>
    </dxf>
    <dxf>
      <fill>
        <patternFill>
          <bgColor indexed="22"/>
        </patternFill>
      </fill>
    </dxf>
    <dxf>
      <font>
        <b/>
        <i val="0"/>
        <condense val="0"/>
        <extend val="0"/>
        <color indexed="9"/>
      </font>
      <fill>
        <patternFill>
          <bgColor indexed="23"/>
        </patternFill>
      </fill>
    </dxf>
    <dxf>
      <fill>
        <patternFill>
          <bgColor indexed="22"/>
        </patternFill>
      </fill>
    </dxf>
    <dxf>
      <font>
        <condense val="0"/>
        <extend val="0"/>
        <color indexed="9"/>
      </font>
      <fill>
        <patternFill>
          <bgColor indexed="55"/>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indexed="9"/>
      </font>
      <fill>
        <patternFill>
          <bgColor indexed="22"/>
        </patternFill>
      </fill>
    </dxf>
    <dxf>
      <font>
        <condense val="0"/>
        <extend val="0"/>
        <color indexed="9"/>
      </font>
      <fill>
        <patternFill>
          <bgColor indexed="22"/>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26"/>
        </patternFill>
      </fill>
    </dxf>
    <dxf>
      <fill>
        <patternFill>
          <bgColor indexed="26"/>
        </patternFill>
      </fill>
      <border>
        <left style="thin">
          <color indexed="22"/>
        </left>
        <right style="thin">
          <color indexed="22"/>
        </right>
        <top style="thin">
          <color indexed="22"/>
        </top>
        <bottom style="thin">
          <color indexed="22"/>
        </bottom>
      </border>
    </dxf>
    <dxf>
      <font>
        <condense val="0"/>
        <extend val="0"/>
        <color indexed="55"/>
      </font>
    </dxf>
    <dxf>
      <font>
        <b/>
        <i val="0"/>
        <condense val="0"/>
        <extend val="0"/>
      </font>
      <fill>
        <patternFill>
          <fgColor indexed="64"/>
          <bgColor indexed="31"/>
        </patternFill>
      </fill>
    </dxf>
    <dxf>
      <font>
        <b val="0"/>
        <i val="0"/>
        <condense val="0"/>
        <extend val="0"/>
        <color indexed="9"/>
      </font>
      <fill>
        <patternFill>
          <fgColor indexed="64"/>
          <bgColor indexed="48"/>
        </patternFill>
      </fill>
      <border>
        <left style="thin">
          <color indexed="22"/>
        </left>
        <right style="thin">
          <color indexed="22"/>
        </right>
        <top style="thin">
          <color indexed="22"/>
        </top>
        <bottom style="thin">
          <color indexed="22"/>
        </bottom>
      </border>
    </dxf>
    <dxf>
      <fill>
        <patternFill>
          <bgColor indexed="26"/>
        </patternFill>
      </fill>
      <border>
        <left style="thin">
          <color indexed="22"/>
        </left>
        <right style="thin">
          <color indexed="22"/>
        </right>
        <top style="thin">
          <color indexed="22"/>
        </top>
        <bottom style="thin">
          <color indexed="22"/>
        </bottom>
      </border>
    </dxf>
    <dxf>
      <font>
        <condense val="0"/>
        <extend val="0"/>
        <color indexed="55"/>
      </font>
    </dxf>
    <dxf>
      <font>
        <condense val="0"/>
        <extend val="0"/>
        <color indexed="9"/>
      </font>
      <fill>
        <patternFill>
          <bgColor indexed="55"/>
        </patternFill>
      </fill>
    </dxf>
    <dxf>
      <fill>
        <patternFill>
          <bgColor indexed="9"/>
        </patternFill>
      </fill>
    </dxf>
    <dxf>
      <fill>
        <patternFill patternType="darkUp">
          <bgColor indexed="65"/>
        </patternFill>
      </fill>
      <border>
        <left style="thin">
          <color indexed="55"/>
        </left>
        <right style="thin">
          <color indexed="55"/>
        </right>
        <top style="thin">
          <color indexed="55"/>
        </top>
        <bottom style="thin">
          <color indexed="55"/>
        </bottom>
      </border>
    </dxf>
    <dxf>
      <font>
        <condense val="0"/>
        <extend val="0"/>
        <color indexed="9"/>
      </font>
      <fill>
        <patternFill>
          <bgColor indexed="10"/>
        </patternFill>
      </fill>
    </dxf>
    <dxf>
      <font>
        <condense val="0"/>
        <extend val="0"/>
        <color indexed="9"/>
      </font>
      <fill>
        <patternFill>
          <bgColor indexed="10"/>
        </patternFill>
      </fill>
    </dxf>
    <dxf>
      <fill>
        <patternFill>
          <bgColor indexed="47"/>
        </patternFill>
      </fill>
    </dxf>
    <dxf>
      <fill>
        <patternFill>
          <bgColor indexed="22"/>
        </patternFill>
      </fill>
    </dxf>
    <dxf>
      <fill>
        <patternFill>
          <bgColor indexed="26"/>
        </patternFill>
      </fill>
    </dxf>
    <dxf>
      <font>
        <b val="0"/>
        <i val="0"/>
        <condense val="0"/>
        <extend val="0"/>
        <color auto="1"/>
      </font>
      <fill>
        <patternFill>
          <bgColor indexed="13"/>
        </patternFill>
      </fill>
      <border>
        <left style="thin">
          <color indexed="22"/>
        </left>
        <right style="thin">
          <color indexed="22"/>
        </right>
        <top style="thin">
          <color indexed="22"/>
        </top>
        <bottom style="thin">
          <color indexed="22"/>
        </bottom>
      </border>
    </dxf>
    <dxf>
      <font>
        <condense val="0"/>
        <extend val="0"/>
        <color indexed="55"/>
      </font>
    </dxf>
    <dxf>
      <font>
        <b/>
        <i val="0"/>
        <condense val="0"/>
        <extend val="0"/>
      </font>
      <fill>
        <patternFill>
          <fgColor indexed="64"/>
          <bgColor indexed="31"/>
        </patternFill>
      </fill>
    </dxf>
    <dxf>
      <font>
        <b val="0"/>
        <i val="0"/>
        <condense val="0"/>
        <extend val="0"/>
        <color indexed="9"/>
      </font>
      <fill>
        <patternFill>
          <fgColor indexed="64"/>
          <bgColor indexed="48"/>
        </patternFill>
      </fill>
      <border>
        <left style="thin">
          <color indexed="22"/>
        </left>
        <right style="thin">
          <color indexed="22"/>
        </right>
        <top style="thin">
          <color indexed="22"/>
        </top>
        <bottom style="thin">
          <color indexed="22"/>
        </bottom>
      </border>
    </dxf>
    <dxf>
      <font>
        <condense val="0"/>
        <extend val="0"/>
        <color indexed="9"/>
      </font>
      <fill>
        <patternFill>
          <bgColor indexed="48"/>
        </patternFill>
      </fill>
      <border>
        <left style="thin">
          <color indexed="55"/>
        </left>
        <right style="thin">
          <color indexed="55"/>
        </right>
        <top style="thin">
          <color indexed="55"/>
        </top>
        <bottom style="thin">
          <color indexed="55"/>
        </bottom>
      </border>
    </dxf>
    <dxf>
      <font>
        <condense val="0"/>
        <extend val="0"/>
        <color auto="1"/>
      </font>
      <fill>
        <patternFill patternType="gray125">
          <bgColor indexed="9"/>
        </patternFill>
      </fill>
    </dxf>
    <dxf>
      <font>
        <condense val="0"/>
        <extend val="0"/>
        <color indexed="9"/>
      </font>
      <fill>
        <patternFill>
          <bgColor indexed="63"/>
        </patternFill>
      </fill>
    </dxf>
    <dxf>
      <font>
        <condense val="0"/>
        <extend val="0"/>
        <color indexed="9"/>
      </font>
      <fill>
        <patternFill>
          <bgColor indexed="23"/>
        </patternFill>
      </fill>
    </dxf>
    <dxf>
      <font>
        <condense val="0"/>
        <extend val="0"/>
        <color indexed="9"/>
      </font>
      <fill>
        <patternFill>
          <bgColor indexed="55"/>
        </patternFill>
      </fill>
    </dxf>
    <dxf>
      <font>
        <condense val="0"/>
        <extend val="0"/>
        <color auto="1"/>
      </font>
      <fill>
        <patternFill>
          <bgColor indexed="22"/>
        </patternFill>
      </fill>
    </dxf>
    <dxf>
      <font>
        <condense val="0"/>
        <extend val="0"/>
        <color indexed="9"/>
      </font>
      <fill>
        <patternFill>
          <bgColor indexed="60"/>
        </patternFill>
      </fill>
    </dxf>
    <dxf>
      <fill>
        <patternFill>
          <bgColor indexed="53"/>
        </patternFill>
      </fill>
    </dxf>
    <dxf>
      <fill>
        <patternFill>
          <bgColor indexed="52"/>
        </patternFill>
      </fill>
    </dxf>
    <dxf>
      <fill>
        <patternFill>
          <bgColor indexed="51"/>
        </patternFill>
      </fill>
    </dxf>
    <dxf>
      <font>
        <condense val="0"/>
        <extend val="0"/>
        <color auto="1"/>
      </font>
      <fill>
        <patternFill>
          <bgColor indexed="47"/>
        </patternFill>
      </fill>
    </dxf>
    <dxf>
      <fill>
        <patternFill>
          <bgColor indexed="22"/>
        </patternFill>
      </fill>
    </dxf>
    <dxf>
      <font>
        <b/>
        <i val="0"/>
        <condense val="0"/>
        <extend val="0"/>
        <color indexed="9"/>
      </font>
      <fill>
        <patternFill>
          <bgColor indexed="23"/>
        </patternFill>
      </fill>
    </dxf>
    <dxf>
      <fill>
        <patternFill>
          <bgColor indexed="22"/>
        </patternFill>
      </fill>
    </dxf>
    <dxf>
      <font>
        <condense val="0"/>
        <extend val="0"/>
        <color auto="1"/>
      </font>
      <fill>
        <patternFill>
          <bgColor indexed="22"/>
        </patternFill>
      </fill>
      <border>
        <left style="hair">
          <color indexed="23"/>
        </left>
        <right style="hair">
          <color indexed="23"/>
        </right>
        <top style="hair">
          <color indexed="23"/>
        </top>
        <bottom style="hair">
          <color indexed="23"/>
        </bottom>
      </border>
    </dxf>
    <dxf>
      <fill>
        <patternFill>
          <bgColor indexed="10"/>
        </patternFill>
      </fill>
    </dxf>
    <dxf>
      <fill>
        <patternFill>
          <bgColor indexed="52"/>
        </patternFill>
      </fill>
    </dxf>
    <dxf>
      <fill>
        <patternFill>
          <bgColor indexed="11"/>
        </patternFill>
      </fill>
    </dxf>
    <dxf>
      <font>
        <condense val="0"/>
        <extend val="0"/>
        <color indexed="9"/>
      </font>
      <fill>
        <patternFill>
          <bgColor indexed="55"/>
        </patternFill>
      </fill>
    </dxf>
    <dxf>
      <font>
        <condense val="0"/>
        <extend val="0"/>
        <color indexed="9"/>
      </font>
      <fill>
        <patternFill>
          <bgColor indexed="55"/>
        </patternFill>
      </fill>
    </dxf>
    <dxf>
      <font>
        <condense val="0"/>
        <extend val="0"/>
        <color indexed="9"/>
      </font>
      <fill>
        <patternFill>
          <bgColor indexed="55"/>
        </patternFill>
      </fill>
    </dxf>
    <dxf>
      <font>
        <condense val="0"/>
        <extend val="0"/>
        <color indexed="9"/>
      </font>
      <fill>
        <patternFill>
          <bgColor indexed="55"/>
        </patternFill>
      </fill>
    </dxf>
    <dxf>
      <fill>
        <patternFill>
          <bgColor indexed="22"/>
        </patternFill>
      </fill>
    </dxf>
    <dxf>
      <font>
        <condense val="0"/>
        <extend val="0"/>
        <color auto="1"/>
      </font>
      <fill>
        <patternFill>
          <bgColor indexed="22"/>
        </patternFill>
      </fill>
    </dxf>
    <dxf>
      <font>
        <condense val="0"/>
        <extend val="0"/>
        <color indexed="9"/>
      </font>
      <fill>
        <patternFill>
          <fgColor indexed="47"/>
          <bgColor indexed="55"/>
        </patternFill>
      </fill>
    </dxf>
    <dxf>
      <font>
        <condense val="0"/>
        <extend val="0"/>
        <color indexed="9"/>
      </font>
      <fill>
        <patternFill>
          <fgColor indexed="47"/>
          <bgColor indexed="55"/>
        </patternFill>
      </fill>
    </dxf>
    <dxf>
      <font>
        <condense val="0"/>
        <extend val="0"/>
        <color indexed="9"/>
      </font>
      <fill>
        <patternFill>
          <fgColor indexed="47"/>
          <bgColor indexed="55"/>
        </patternFill>
      </fill>
    </dxf>
    <dxf>
      <font>
        <condense val="0"/>
        <extend val="0"/>
        <color indexed="9"/>
      </font>
      <fill>
        <patternFill>
          <bgColor indexed="55"/>
        </patternFill>
      </fill>
    </dxf>
    <dxf>
      <fill>
        <patternFill patternType="lightUp">
          <bgColor indexed="65"/>
        </patternFill>
      </fill>
    </dxf>
    <dxf>
      <fill>
        <patternFill patternType="lightDown">
          <bgColor indexed="65"/>
        </patternFill>
      </fill>
    </dxf>
    <dxf>
      <fill>
        <patternFill patternType="lightUp">
          <bgColor indexed="65"/>
        </patternFill>
      </fill>
    </dxf>
    <dxf>
      <fill>
        <patternFill patternType="lightDown">
          <bgColor indexed="65"/>
        </patternFill>
      </fill>
    </dxf>
    <dxf>
      <fill>
        <patternFill>
          <bgColor indexed="55"/>
        </patternFill>
      </fill>
      <border>
        <left style="thin">
          <color indexed="64"/>
        </left>
        <right style="thin">
          <color indexed="64"/>
        </right>
        <top style="thin">
          <color indexed="64"/>
        </top>
      </border>
    </dxf>
    <dxf>
      <fill>
        <patternFill>
          <bgColor indexed="55"/>
        </patternFill>
      </fill>
      <border>
        <left style="thin">
          <color indexed="64"/>
        </left>
        <right style="thin">
          <color indexed="64"/>
        </right>
      </border>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Source and averaged data</a:t>
            </a:r>
          </a:p>
        </c:rich>
      </c:tx>
      <c:layout>
        <c:manualLayout>
          <c:xMode val="edge"/>
          <c:yMode val="edge"/>
          <c:x val="0.3964757709251101"/>
          <c:y val="1.5384621805147321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9.6916299559471369E-2"/>
          <c:y val="9.9145340522060518E-2"/>
          <c:w val="0.85462555066079293"/>
          <c:h val="0.72991483453310069"/>
        </c:manualLayout>
      </c:layout>
      <c:scatterChart>
        <c:scatterStyle val="lineMarker"/>
        <c:varyColors val="0"/>
        <c:ser>
          <c:idx val="1"/>
          <c:order val="0"/>
          <c:tx>
            <c:v>Source data</c:v>
          </c:tx>
          <c:spPr>
            <a:ln w="25400">
              <a:solidFill>
                <a:srgbClr val="333333"/>
              </a:solidFill>
              <a:prstDash val="solid"/>
            </a:ln>
          </c:spPr>
          <c:marker>
            <c:symbol val="none"/>
          </c:marker>
          <c:yVal>
            <c:numRef>
              <c:f>Averaging!$E$19:$E$42</c:f>
              <c:numCache>
                <c:formatCode>0.00</c:formatCode>
                <c:ptCount val="24"/>
                <c:pt idx="0">
                  <c:v>100</c:v>
                </c:pt>
                <c:pt idx="1">
                  <c:v>97.12977041395753</c:v>
                </c:pt>
                <c:pt idx="2">
                  <c:v>94.002930661929057</c:v>
                </c:pt>
                <c:pt idx="3">
                  <c:v>92.919380412150261</c:v>
                </c:pt>
                <c:pt idx="4">
                  <c:v>91.052633852885293</c:v>
                </c:pt>
                <c:pt idx="5">
                  <c:v>90.507417322886681</c:v>
                </c:pt>
                <c:pt idx="6">
                  <c:v>86.041724530358962</c:v>
                </c:pt>
                <c:pt idx="7">
                  <c:v>90.080732629174264</c:v>
                </c:pt>
                <c:pt idx="8">
                  <c:v>85.373102024078605</c:v>
                </c:pt>
                <c:pt idx="9">
                  <c:v>83.763088641495557</c:v>
                </c:pt>
                <c:pt idx="10">
                  <c:v>84.6762833883555</c:v>
                </c:pt>
                <c:pt idx="11">
                  <c:v>88.935708003975805</c:v>
                </c:pt>
                <c:pt idx="12">
                  <c:v>89.261869975198138</c:v>
                </c:pt>
                <c:pt idx="13">
                  <c:v>96.786917095704069</c:v>
                </c:pt>
                <c:pt idx="14">
                  <c:v>94.95112652476449</c:v>
                </c:pt>
                <c:pt idx="15">
                  <c:v>100.59499496735094</c:v>
                </c:pt>
                <c:pt idx="16">
                  <c:v>101.86362979714656</c:v>
                </c:pt>
                <c:pt idx="17">
                  <c:v>102.01480987336882</c:v>
                </c:pt>
                <c:pt idx="18">
                  <c:v>101.27610371221286</c:v>
                </c:pt>
                <c:pt idx="19">
                  <c:v>94.236777298609368</c:v>
                </c:pt>
                <c:pt idx="20">
                  <c:v>91.143560734088325</c:v>
                </c:pt>
                <c:pt idx="21">
                  <c:v>95.758395305409991</c:v>
                </c:pt>
                <c:pt idx="22">
                  <c:v>102.4852313454393</c:v>
                </c:pt>
                <c:pt idx="23">
                  <c:v>106.72248127772338</c:v>
                </c:pt>
              </c:numCache>
            </c:numRef>
          </c:yVal>
          <c:smooth val="0"/>
          <c:extLst>
            <c:ext xmlns:c16="http://schemas.microsoft.com/office/drawing/2014/chart" uri="{C3380CC4-5D6E-409C-BE32-E72D297353CC}">
              <c16:uniqueId val="{00000000-0706-444C-8602-AF3066D89B67}"/>
            </c:ext>
          </c:extLst>
        </c:ser>
        <c:ser>
          <c:idx val="0"/>
          <c:order val="1"/>
          <c:tx>
            <c:v>Averaged data</c:v>
          </c:tx>
          <c:spPr>
            <a:ln w="38100">
              <a:solidFill>
                <a:srgbClr val="C0C0C0"/>
              </a:solidFill>
              <a:prstDash val="solid"/>
            </a:ln>
          </c:spPr>
          <c:marker>
            <c:symbol val="none"/>
          </c:marker>
          <c:xVal>
            <c:numRef>
              <c:f>Averaging!$I$19:$I$42</c:f>
              <c:numCache>
                <c:formatCode>General</c:formatCode>
                <c:ptCount val="24"/>
                <c:pt idx="0">
                  <c:v>3</c:v>
                </c:pt>
                <c:pt idx="1">
                  <c:v>3</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xVal>
          <c:yVal>
            <c:numRef>
              <c:f>Averaging!$J$19:$J$42</c:f>
              <c:numCache>
                <c:formatCode>0.00</c:formatCode>
                <c:ptCount val="24"/>
                <c:pt idx="0">
                  <c:v>97.044233691962191</c:v>
                </c:pt>
                <c:pt idx="1">
                  <c:v>97.044233691962191</c:v>
                </c:pt>
                <c:pt idx="2">
                  <c:v>97.044233691962191</c:v>
                </c:pt>
                <c:pt idx="3">
                  <c:v>94.684027162678944</c:v>
                </c:pt>
                <c:pt idx="4">
                  <c:v>92.658314975654875</c:v>
                </c:pt>
                <c:pt idx="5">
                  <c:v>91.49314386264075</c:v>
                </c:pt>
                <c:pt idx="6">
                  <c:v>89.200591902043641</c:v>
                </c:pt>
                <c:pt idx="7">
                  <c:v>88.876624827473321</c:v>
                </c:pt>
                <c:pt idx="8">
                  <c:v>87.165186394537272</c:v>
                </c:pt>
                <c:pt idx="9">
                  <c:v>86.405641098249475</c:v>
                </c:pt>
                <c:pt idx="10">
                  <c:v>84.604158017976559</c:v>
                </c:pt>
                <c:pt idx="11">
                  <c:v>85.791693344608959</c:v>
                </c:pt>
                <c:pt idx="12">
                  <c:v>87.624620455843157</c:v>
                </c:pt>
                <c:pt idx="13">
                  <c:v>91.66149835829269</c:v>
                </c:pt>
                <c:pt idx="14">
                  <c:v>93.666637865222242</c:v>
                </c:pt>
                <c:pt idx="15">
                  <c:v>97.444346195939829</c:v>
                </c:pt>
                <c:pt idx="16">
                  <c:v>99.13658376308733</c:v>
                </c:pt>
                <c:pt idx="17">
                  <c:v>101.49114487928877</c:v>
                </c:pt>
                <c:pt idx="18">
                  <c:v>101.71818112757607</c:v>
                </c:pt>
                <c:pt idx="19">
                  <c:v>99.175896961397015</c:v>
                </c:pt>
                <c:pt idx="20">
                  <c:v>95.552147248303527</c:v>
                </c:pt>
                <c:pt idx="21">
                  <c:v>93.712911112702557</c:v>
                </c:pt>
                <c:pt idx="22">
                  <c:v>96.462395794979216</c:v>
                </c:pt>
                <c:pt idx="23">
                  <c:v>101.65536930952423</c:v>
                </c:pt>
              </c:numCache>
            </c:numRef>
          </c:yVal>
          <c:smooth val="0"/>
          <c:extLst>
            <c:ext xmlns:c16="http://schemas.microsoft.com/office/drawing/2014/chart" uri="{C3380CC4-5D6E-409C-BE32-E72D297353CC}">
              <c16:uniqueId val="{00000001-0706-444C-8602-AF3066D89B67}"/>
            </c:ext>
          </c:extLst>
        </c:ser>
        <c:dLbls>
          <c:showLegendKey val="0"/>
          <c:showVal val="0"/>
          <c:showCatName val="0"/>
          <c:showSerName val="0"/>
          <c:showPercent val="0"/>
          <c:showBubbleSize val="0"/>
        </c:dLbls>
        <c:axId val="401303152"/>
        <c:axId val="1"/>
      </c:scatterChart>
      <c:valAx>
        <c:axId val="401303152"/>
        <c:scaling>
          <c:orientation val="minMax"/>
          <c:max val="2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max val="120"/>
          <c:min val="80"/>
        </c:scaling>
        <c:delete val="0"/>
        <c:axPos val="l"/>
        <c:majorGridlines>
          <c:spPr>
            <a:ln w="3175">
              <a:solidFill>
                <a:srgbClr val="C0C0C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1303152"/>
        <c:crosses val="autoZero"/>
        <c:crossBetween val="midCat"/>
      </c:valAx>
      <c:spPr>
        <a:noFill/>
        <a:ln w="12700">
          <a:solidFill>
            <a:srgbClr val="808080"/>
          </a:solidFill>
          <a:prstDash val="solid"/>
        </a:ln>
      </c:spPr>
    </c:plotArea>
    <c:legend>
      <c:legendPos val="b"/>
      <c:layout>
        <c:manualLayout>
          <c:xMode val="edge"/>
          <c:yMode val="edge"/>
          <c:x val="9.0308370044052858E-2"/>
          <c:y val="0.89572686954413294"/>
          <c:w val="0.81718061674008813"/>
          <c:h val="7.3504304180148305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en-US"/>
        </a:p>
      </c:txPr>
    </c:legend>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Interpolating!$C$67</c:f>
          <c:strCache>
            <c:ptCount val="1"/>
            <c:pt idx="0">
              <c:v>   When X is 3.50 Y is 2.30</c:v>
            </c:pt>
          </c:strCache>
        </c:strRef>
      </c:tx>
      <c:layout>
        <c:manualLayout>
          <c:xMode val="edge"/>
          <c:yMode val="edge"/>
          <c:x val="0.40737111228588424"/>
          <c:y val="2.8776978417266189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9.8605721555751924E-2"/>
          <c:y val="0.17266187050359713"/>
          <c:w val="0.86553911143382245"/>
          <c:h val="0.75539568345323738"/>
        </c:manualLayout>
      </c:layout>
      <c:scatterChart>
        <c:scatterStyle val="lineMarker"/>
        <c:varyColors val="0"/>
        <c:ser>
          <c:idx val="0"/>
          <c:order val="0"/>
          <c:spPr>
            <a:ln w="12700">
              <a:solidFill>
                <a:srgbClr val="000080"/>
              </a:solidFill>
              <a:prstDash val="solid"/>
            </a:ln>
          </c:spPr>
          <c:marker>
            <c:symbol val="square"/>
            <c:size val="4"/>
            <c:spPr>
              <a:solidFill>
                <a:srgbClr val="000000"/>
              </a:solidFill>
              <a:ln>
                <a:solidFill>
                  <a:srgbClr val="000000"/>
                </a:solidFill>
                <a:prstDash val="solid"/>
              </a:ln>
            </c:spPr>
          </c:marker>
          <c:xVal>
            <c:numRef>
              <c:f>Interpolating!$C$59</c:f>
              <c:numCache>
                <c:formatCode>General</c:formatCode>
                <c:ptCount val="1"/>
                <c:pt idx="0">
                  <c:v>0</c:v>
                </c:pt>
              </c:numCache>
            </c:numRef>
          </c:xVal>
          <c:yVal>
            <c:numRef>
              <c:f>Interpolating!$E$59</c:f>
              <c:numCache>
                <c:formatCode>General</c:formatCode>
                <c:ptCount val="1"/>
                <c:pt idx="0">
                  <c:v>-2</c:v>
                </c:pt>
              </c:numCache>
            </c:numRef>
          </c:yVal>
          <c:smooth val="0"/>
          <c:extLst>
            <c:ext xmlns:c16="http://schemas.microsoft.com/office/drawing/2014/chart" uri="{C3380CC4-5D6E-409C-BE32-E72D297353CC}">
              <c16:uniqueId val="{00000000-DC00-457A-BAB8-4DD44489AFDC}"/>
            </c:ext>
          </c:extLst>
        </c:ser>
        <c:ser>
          <c:idx val="1"/>
          <c:order val="1"/>
          <c:spPr>
            <a:ln w="12700">
              <a:solidFill>
                <a:srgbClr val="FF00FF"/>
              </a:solidFill>
              <a:prstDash val="solid"/>
            </a:ln>
          </c:spPr>
          <c:marker>
            <c:symbol val="square"/>
            <c:size val="4"/>
            <c:spPr>
              <a:solidFill>
                <a:srgbClr val="000000"/>
              </a:solidFill>
              <a:ln>
                <a:solidFill>
                  <a:srgbClr val="000000"/>
                </a:solidFill>
                <a:prstDash val="solid"/>
              </a:ln>
            </c:spPr>
          </c:marker>
          <c:xVal>
            <c:numRef>
              <c:f>Interpolating!$C$60</c:f>
              <c:numCache>
                <c:formatCode>General</c:formatCode>
                <c:ptCount val="1"/>
                <c:pt idx="0">
                  <c:v>1</c:v>
                </c:pt>
              </c:numCache>
            </c:numRef>
          </c:xVal>
          <c:yVal>
            <c:numRef>
              <c:f>Interpolating!$E$60</c:f>
              <c:numCache>
                <c:formatCode>General</c:formatCode>
                <c:ptCount val="1"/>
                <c:pt idx="0">
                  <c:v>-3</c:v>
                </c:pt>
              </c:numCache>
            </c:numRef>
          </c:yVal>
          <c:smooth val="0"/>
          <c:extLst>
            <c:ext xmlns:c16="http://schemas.microsoft.com/office/drawing/2014/chart" uri="{C3380CC4-5D6E-409C-BE32-E72D297353CC}">
              <c16:uniqueId val="{00000001-DC00-457A-BAB8-4DD44489AFDC}"/>
            </c:ext>
          </c:extLst>
        </c:ser>
        <c:ser>
          <c:idx val="2"/>
          <c:order val="2"/>
          <c:spPr>
            <a:ln w="12700">
              <a:solidFill>
                <a:srgbClr val="FFFF00"/>
              </a:solidFill>
              <a:prstDash val="solid"/>
            </a:ln>
          </c:spPr>
          <c:marker>
            <c:symbol val="square"/>
            <c:size val="4"/>
            <c:spPr>
              <a:solidFill>
                <a:srgbClr val="000000"/>
              </a:solidFill>
              <a:ln>
                <a:solidFill>
                  <a:srgbClr val="000000"/>
                </a:solidFill>
                <a:prstDash val="solid"/>
              </a:ln>
            </c:spPr>
          </c:marker>
          <c:xVal>
            <c:numRef>
              <c:f>Interpolating!$C$61</c:f>
              <c:numCache>
                <c:formatCode>General</c:formatCode>
                <c:ptCount val="1"/>
                <c:pt idx="0">
                  <c:v>2</c:v>
                </c:pt>
              </c:numCache>
            </c:numRef>
          </c:xVal>
          <c:yVal>
            <c:numRef>
              <c:f>Interpolating!$E$61</c:f>
              <c:numCache>
                <c:formatCode>General</c:formatCode>
                <c:ptCount val="1"/>
                <c:pt idx="0">
                  <c:v>2</c:v>
                </c:pt>
              </c:numCache>
            </c:numRef>
          </c:yVal>
          <c:smooth val="0"/>
          <c:extLst>
            <c:ext xmlns:c16="http://schemas.microsoft.com/office/drawing/2014/chart" uri="{C3380CC4-5D6E-409C-BE32-E72D297353CC}">
              <c16:uniqueId val="{00000002-DC00-457A-BAB8-4DD44489AFDC}"/>
            </c:ext>
          </c:extLst>
        </c:ser>
        <c:ser>
          <c:idx val="3"/>
          <c:order val="3"/>
          <c:spPr>
            <a:ln w="12700">
              <a:solidFill>
                <a:srgbClr val="00FFFF"/>
              </a:solidFill>
              <a:prstDash val="solid"/>
            </a:ln>
          </c:spPr>
          <c:marker>
            <c:symbol val="square"/>
            <c:size val="4"/>
            <c:spPr>
              <a:solidFill>
                <a:srgbClr val="000000"/>
              </a:solidFill>
              <a:ln>
                <a:solidFill>
                  <a:srgbClr val="000000"/>
                </a:solidFill>
                <a:prstDash val="solid"/>
              </a:ln>
            </c:spPr>
          </c:marker>
          <c:xVal>
            <c:numRef>
              <c:f>Interpolating!$C$62</c:f>
              <c:numCache>
                <c:formatCode>General</c:formatCode>
                <c:ptCount val="1"/>
                <c:pt idx="0">
                  <c:v>3</c:v>
                </c:pt>
              </c:numCache>
            </c:numRef>
          </c:xVal>
          <c:yVal>
            <c:numRef>
              <c:f>Interpolating!$E$62</c:f>
              <c:numCache>
                <c:formatCode>General</c:formatCode>
                <c:ptCount val="1"/>
                <c:pt idx="0">
                  <c:v>1</c:v>
                </c:pt>
              </c:numCache>
            </c:numRef>
          </c:yVal>
          <c:smooth val="0"/>
          <c:extLst>
            <c:ext xmlns:c16="http://schemas.microsoft.com/office/drawing/2014/chart" uri="{C3380CC4-5D6E-409C-BE32-E72D297353CC}">
              <c16:uniqueId val="{00000003-DC00-457A-BAB8-4DD44489AFDC}"/>
            </c:ext>
          </c:extLst>
        </c:ser>
        <c:ser>
          <c:idx val="4"/>
          <c:order val="4"/>
          <c:spPr>
            <a:ln w="12700">
              <a:solidFill>
                <a:srgbClr val="800080"/>
              </a:solidFill>
              <a:prstDash val="solid"/>
            </a:ln>
          </c:spPr>
          <c:marker>
            <c:symbol val="square"/>
            <c:size val="4"/>
            <c:spPr>
              <a:solidFill>
                <a:srgbClr val="000000"/>
              </a:solidFill>
              <a:ln>
                <a:solidFill>
                  <a:srgbClr val="000000"/>
                </a:solidFill>
                <a:prstDash val="solid"/>
              </a:ln>
            </c:spPr>
          </c:marker>
          <c:xVal>
            <c:numRef>
              <c:f>Interpolating!$C$63</c:f>
              <c:numCache>
                <c:formatCode>General</c:formatCode>
                <c:ptCount val="1"/>
                <c:pt idx="0">
                  <c:v>4</c:v>
                </c:pt>
              </c:numCache>
            </c:numRef>
          </c:xVal>
          <c:yVal>
            <c:numRef>
              <c:f>Interpolating!$E$63</c:f>
              <c:numCache>
                <c:formatCode>General</c:formatCode>
                <c:ptCount val="1"/>
                <c:pt idx="0">
                  <c:v>3</c:v>
                </c:pt>
              </c:numCache>
            </c:numRef>
          </c:yVal>
          <c:smooth val="0"/>
          <c:extLst>
            <c:ext xmlns:c16="http://schemas.microsoft.com/office/drawing/2014/chart" uri="{C3380CC4-5D6E-409C-BE32-E72D297353CC}">
              <c16:uniqueId val="{00000004-DC00-457A-BAB8-4DD44489AFDC}"/>
            </c:ext>
          </c:extLst>
        </c:ser>
        <c:ser>
          <c:idx val="5"/>
          <c:order val="5"/>
          <c:spPr>
            <a:ln w="38100">
              <a:solidFill>
                <a:srgbClr val="FF6600"/>
              </a:solidFill>
              <a:prstDash val="solid"/>
            </a:ln>
          </c:spPr>
          <c:marker>
            <c:symbol val="none"/>
          </c:marker>
          <c:xVal>
            <c:numRef>
              <c:f>Interpolating_calcs!$A$44:$A$45</c:f>
              <c:numCache>
                <c:formatCode>General</c:formatCode>
                <c:ptCount val="2"/>
                <c:pt idx="0">
                  <c:v>0</c:v>
                </c:pt>
                <c:pt idx="1">
                  <c:v>4</c:v>
                </c:pt>
              </c:numCache>
            </c:numRef>
          </c:xVal>
          <c:yVal>
            <c:numRef>
              <c:f>Interpolating_calcs!$B$44:$B$45</c:f>
              <c:numCache>
                <c:formatCode>General</c:formatCode>
                <c:ptCount val="2"/>
                <c:pt idx="0">
                  <c:v>-2.5999999999999992</c:v>
                </c:pt>
                <c:pt idx="1">
                  <c:v>2.9999999999999996</c:v>
                </c:pt>
              </c:numCache>
            </c:numRef>
          </c:yVal>
          <c:smooth val="0"/>
          <c:extLst>
            <c:ext xmlns:c16="http://schemas.microsoft.com/office/drawing/2014/chart" uri="{C3380CC4-5D6E-409C-BE32-E72D297353CC}">
              <c16:uniqueId val="{00000005-DC00-457A-BAB8-4DD44489AFDC}"/>
            </c:ext>
          </c:extLst>
        </c:ser>
        <c:ser>
          <c:idx val="6"/>
          <c:order val="6"/>
          <c:spPr>
            <a:ln w="38100">
              <a:solidFill>
                <a:srgbClr val="000000"/>
              </a:solidFill>
              <a:prstDash val="solid"/>
            </a:ln>
          </c:spPr>
          <c:marker>
            <c:symbol val="circle"/>
            <c:size val="8"/>
            <c:spPr>
              <a:solidFill>
                <a:srgbClr val="000000"/>
              </a:solidFill>
              <a:ln>
                <a:solidFill>
                  <a:srgbClr val="000000"/>
                </a:solidFill>
                <a:prstDash val="solid"/>
              </a:ln>
            </c:spPr>
          </c:marker>
          <c:xVal>
            <c:numRef>
              <c:f>Interpolating_calcs!$A$49:$A$50</c:f>
              <c:numCache>
                <c:formatCode>General</c:formatCode>
                <c:ptCount val="2"/>
                <c:pt idx="0">
                  <c:v>3.5</c:v>
                </c:pt>
                <c:pt idx="1">
                  <c:v>3.5</c:v>
                </c:pt>
              </c:numCache>
            </c:numRef>
          </c:xVal>
          <c:yVal>
            <c:numRef>
              <c:f>Interpolating_calcs!$B$49:$B$50</c:f>
              <c:numCache>
                <c:formatCode>General</c:formatCode>
                <c:ptCount val="2"/>
                <c:pt idx="0">
                  <c:v>0</c:v>
                </c:pt>
                <c:pt idx="1">
                  <c:v>2.2999999999999994</c:v>
                </c:pt>
              </c:numCache>
            </c:numRef>
          </c:yVal>
          <c:smooth val="0"/>
          <c:extLst>
            <c:ext xmlns:c16="http://schemas.microsoft.com/office/drawing/2014/chart" uri="{C3380CC4-5D6E-409C-BE32-E72D297353CC}">
              <c16:uniqueId val="{00000006-DC00-457A-BAB8-4DD44489AFDC}"/>
            </c:ext>
          </c:extLst>
        </c:ser>
        <c:dLbls>
          <c:showLegendKey val="0"/>
          <c:showVal val="0"/>
          <c:showCatName val="0"/>
          <c:showSerName val="0"/>
          <c:showPercent val="0"/>
          <c:showBubbleSize val="0"/>
        </c:dLbls>
        <c:axId val="403912688"/>
        <c:axId val="1"/>
      </c:scatterChart>
      <c:valAx>
        <c:axId val="403912688"/>
        <c:scaling>
          <c:orientation val="minMax"/>
          <c:max val="4"/>
          <c:min val="0"/>
        </c:scaling>
        <c:delete val="0"/>
        <c:axPos val="b"/>
        <c:title>
          <c:tx>
            <c:rich>
              <a:bodyPr/>
              <a:lstStyle/>
              <a:p>
                <a:pPr>
                  <a:defRPr sz="800" b="0" i="0" u="none" strike="noStrike" baseline="0">
                    <a:solidFill>
                      <a:srgbClr val="000000"/>
                    </a:solidFill>
                    <a:latin typeface="Arial"/>
                    <a:ea typeface="Arial"/>
                    <a:cs typeface="Arial"/>
                  </a:defRPr>
                </a:pPr>
                <a:r>
                  <a:rPr lang="en-AU"/>
                  <a:t>X</a:t>
                </a:r>
              </a:p>
            </c:rich>
          </c:tx>
          <c:layout>
            <c:manualLayout>
              <c:xMode val="edge"/>
              <c:yMode val="edge"/>
              <c:x val="0.5249011642412249"/>
              <c:y val="0.8812949640287769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max val="3.5"/>
          <c:min val="-3.5"/>
        </c:scaling>
        <c:delete val="0"/>
        <c:axPos val="l"/>
        <c:majorGridlines>
          <c:spPr>
            <a:ln w="3175">
              <a:solidFill>
                <a:srgbClr val="CCCCFF"/>
              </a:solidFill>
              <a:prstDash val="sysDash"/>
            </a:ln>
          </c:spPr>
        </c:majorGridlines>
        <c:title>
          <c:tx>
            <c:rich>
              <a:bodyPr/>
              <a:lstStyle/>
              <a:p>
                <a:pPr>
                  <a:defRPr sz="800" b="0" i="0" u="none" strike="noStrike" baseline="0">
                    <a:solidFill>
                      <a:srgbClr val="000000"/>
                    </a:solidFill>
                    <a:latin typeface="Arial"/>
                    <a:ea typeface="Arial"/>
                    <a:cs typeface="Arial"/>
                  </a:defRPr>
                </a:pPr>
                <a:r>
                  <a:rPr lang="en-AU"/>
                  <a:t>Y</a:t>
                </a:r>
              </a:p>
            </c:rich>
          </c:tx>
          <c:layout>
            <c:manualLayout>
              <c:xMode val="edge"/>
              <c:yMode val="edge"/>
              <c:x val="2.988052168356119E-2"/>
              <c:y val="0.5251798561151078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12688"/>
        <c:crosses val="autoZero"/>
        <c:crossBetween val="midCat"/>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a:ea typeface="Arial"/>
                <a:cs typeface="Arial"/>
              </a:defRPr>
            </a:pPr>
            <a:r>
              <a:rPr lang="en-AU"/>
              <a:t>Allocation of funds to claims A-E</a:t>
            </a:r>
          </a:p>
        </c:rich>
      </c:tx>
      <c:layout>
        <c:manualLayout>
          <c:xMode val="edge"/>
          <c:yMode val="edge"/>
          <c:x val="0.24097416903974556"/>
          <c:y val="1.7057587055223731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view3D>
      <c:rotX val="19"/>
      <c:hPercent val="100"/>
      <c:rotY val="140"/>
      <c:depthPercent val="100"/>
      <c:rAngAx val="0"/>
    </c:view3D>
    <c:floor>
      <c:thickness val="0"/>
      <c:spPr>
        <a:solidFill>
          <a:srgbClr val="C0C0C0"/>
        </a:solidFill>
        <a:ln w="3175">
          <a:solidFill>
            <a:srgbClr val="000000"/>
          </a:solidFill>
          <a:prstDash val="solid"/>
        </a:ln>
      </c:spPr>
    </c:floor>
    <c:sideWall>
      <c:thickness val="0"/>
      <c:spPr>
        <a:noFill/>
        <a:ln w="3175">
          <a:solidFill>
            <a:srgbClr val="CCCCFF"/>
          </a:solidFill>
          <a:prstDash val="solid"/>
        </a:ln>
      </c:spPr>
    </c:sideWall>
    <c:backWall>
      <c:thickness val="0"/>
      <c:spPr>
        <a:noFill/>
        <a:ln w="3175">
          <a:solidFill>
            <a:srgbClr val="CCCCFF"/>
          </a:solidFill>
          <a:prstDash val="solid"/>
        </a:ln>
      </c:spPr>
    </c:backWall>
    <c:plotArea>
      <c:layout>
        <c:manualLayout>
          <c:layoutTarget val="inner"/>
          <c:xMode val="edge"/>
          <c:yMode val="edge"/>
          <c:x val="3.1905987538363524E-2"/>
          <c:y val="5.3304959547574159E-2"/>
          <c:w val="0.9269529011145613"/>
          <c:h val="0.81876417865073903"/>
        </c:manualLayout>
      </c:layout>
      <c:bar3DChart>
        <c:barDir val="col"/>
        <c:grouping val="standard"/>
        <c:varyColors val="0"/>
        <c:ser>
          <c:idx val="0"/>
          <c:order val="0"/>
          <c:tx>
            <c:v> </c:v>
          </c:tx>
          <c:spPr>
            <a:solidFill>
              <a:srgbClr val="FFFFFF"/>
            </a:solidFill>
            <a:ln w="12700">
              <a:solidFill>
                <a:srgbClr val="C0C0C0"/>
              </a:solidFill>
              <a:prstDash val="solid"/>
            </a:ln>
          </c:spPr>
          <c:invertIfNegative val="0"/>
          <c:cat>
            <c:numRef>
              <c:f>Prioritising_calcs!$B$4:$B$24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Prioritising_calcs!$C$4:$C$24</c:f>
              <c:numCache>
                <c:formatCode>General</c:formatCode>
                <c:ptCount val="21"/>
                <c:pt idx="0">
                  <c:v>0</c:v>
                </c:pt>
                <c:pt idx="1">
                  <c:v>20</c:v>
                </c:pt>
                <c:pt idx="2">
                  <c:v>40</c:v>
                </c:pt>
                <c:pt idx="3">
                  <c:v>60</c:v>
                </c:pt>
                <c:pt idx="4">
                  <c:v>80</c:v>
                </c:pt>
                <c:pt idx="5">
                  <c:v>100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numCache>
            </c:numRef>
          </c:val>
          <c:extLst>
            <c:ext xmlns:c16="http://schemas.microsoft.com/office/drawing/2014/chart" uri="{C3380CC4-5D6E-409C-BE32-E72D297353CC}">
              <c16:uniqueId val="{00000000-A3E6-4320-82D3-1300C3FA9116}"/>
            </c:ext>
          </c:extLst>
        </c:ser>
        <c:ser>
          <c:idx val="1"/>
          <c:order val="1"/>
          <c:tx>
            <c:v> </c:v>
          </c:tx>
          <c:spPr>
            <a:solidFill>
              <a:srgbClr val="C0C0C0"/>
            </a:solidFill>
            <a:ln w="12700">
              <a:solidFill>
                <a:srgbClr val="808080"/>
              </a:solidFill>
              <a:prstDash val="solid"/>
            </a:ln>
          </c:spPr>
          <c:invertIfNegative val="0"/>
          <c:cat>
            <c:numRef>
              <c:f>Prioritising_calcs!$B$4:$B$24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Prioritising_calcs!$D$4:$D$24</c:f>
              <c:numCache>
                <c:formatCode>General</c:formatCode>
                <c:ptCount val="21"/>
                <c:pt idx="0">
                  <c:v>0</c:v>
                </c:pt>
                <c:pt idx="1">
                  <c:v>0</c:v>
                </c:pt>
                <c:pt idx="2">
                  <c:v>0</c:v>
                </c:pt>
                <c:pt idx="3">
                  <c:v>0</c:v>
                </c:pt>
                <c:pt idx="4">
                  <c:v>0</c:v>
                </c:pt>
                <c:pt idx="5">
                  <c:v>0</c:v>
                </c:pt>
                <c:pt idx="6">
                  <c:v>0</c:v>
                </c:pt>
                <c:pt idx="7">
                  <c:v>20</c:v>
                </c:pt>
                <c:pt idx="8">
                  <c:v>40</c:v>
                </c:pt>
                <c:pt idx="9">
                  <c:v>60</c:v>
                </c:pt>
                <c:pt idx="10">
                  <c:v>80</c:v>
                </c:pt>
                <c:pt idx="11">
                  <c:v>100</c:v>
                </c:pt>
                <c:pt idx="12">
                  <c:v>100</c:v>
                </c:pt>
                <c:pt idx="13">
                  <c:v>100</c:v>
                </c:pt>
                <c:pt idx="14">
                  <c:v>100</c:v>
                </c:pt>
                <c:pt idx="15">
                  <c:v>100</c:v>
                </c:pt>
                <c:pt idx="16">
                  <c:v>100</c:v>
                </c:pt>
                <c:pt idx="17">
                  <c:v>100</c:v>
                </c:pt>
                <c:pt idx="18">
                  <c:v>100</c:v>
                </c:pt>
                <c:pt idx="19">
                  <c:v>100</c:v>
                </c:pt>
                <c:pt idx="20">
                  <c:v>100</c:v>
                </c:pt>
              </c:numCache>
            </c:numRef>
          </c:val>
          <c:extLst>
            <c:ext xmlns:c16="http://schemas.microsoft.com/office/drawing/2014/chart" uri="{C3380CC4-5D6E-409C-BE32-E72D297353CC}">
              <c16:uniqueId val="{00000001-A3E6-4320-82D3-1300C3FA9116}"/>
            </c:ext>
          </c:extLst>
        </c:ser>
        <c:ser>
          <c:idx val="2"/>
          <c:order val="2"/>
          <c:tx>
            <c:v> </c:v>
          </c:tx>
          <c:spPr>
            <a:solidFill>
              <a:srgbClr val="969696"/>
            </a:solidFill>
            <a:ln w="12700">
              <a:solidFill>
                <a:srgbClr val="C0C0C0"/>
              </a:solidFill>
              <a:prstDash val="solid"/>
            </a:ln>
          </c:spPr>
          <c:invertIfNegative val="0"/>
          <c:cat>
            <c:numRef>
              <c:f>Prioritising_calcs!$B$4:$B$24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20</c:v>
                </c:pt>
                <c:pt idx="13">
                  <c:v>40</c:v>
                </c:pt>
                <c:pt idx="14">
                  <c:v>60</c:v>
                </c:pt>
                <c:pt idx="15">
                  <c:v>80</c:v>
                </c:pt>
                <c:pt idx="16">
                  <c:v>80</c:v>
                </c:pt>
                <c:pt idx="17">
                  <c:v>80</c:v>
                </c:pt>
                <c:pt idx="18">
                  <c:v>80</c:v>
                </c:pt>
                <c:pt idx="19">
                  <c:v>80</c:v>
                </c:pt>
                <c:pt idx="20">
                  <c:v>80</c:v>
                </c:pt>
              </c:numCache>
            </c:numRef>
          </c:val>
          <c:extLst>
            <c:ext xmlns:c16="http://schemas.microsoft.com/office/drawing/2014/chart" uri="{C3380CC4-5D6E-409C-BE32-E72D297353CC}">
              <c16:uniqueId val="{00000002-A3E6-4320-82D3-1300C3FA9116}"/>
            </c:ext>
          </c:extLst>
        </c:ser>
        <c:ser>
          <c:idx val="3"/>
          <c:order val="3"/>
          <c:tx>
            <c:v> </c:v>
          </c:tx>
          <c:spPr>
            <a:solidFill>
              <a:srgbClr val="808080"/>
            </a:solidFill>
            <a:ln w="12700">
              <a:solidFill>
                <a:srgbClr val="C0C0C0"/>
              </a:solidFill>
              <a:prstDash val="solid"/>
            </a:ln>
          </c:spPr>
          <c:invertIfNegative val="0"/>
          <c:cat>
            <c:numRef>
              <c:f>Prioritising_calcs!$B$4:$B$24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Prioritising_calcs!$F$4:$F$24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20</c:v>
                </c:pt>
                <c:pt idx="17">
                  <c:v>40</c:v>
                </c:pt>
                <c:pt idx="18">
                  <c:v>60</c:v>
                </c:pt>
                <c:pt idx="19">
                  <c:v>60</c:v>
                </c:pt>
                <c:pt idx="20">
                  <c:v>60</c:v>
                </c:pt>
              </c:numCache>
            </c:numRef>
          </c:val>
          <c:extLst>
            <c:ext xmlns:c16="http://schemas.microsoft.com/office/drawing/2014/chart" uri="{C3380CC4-5D6E-409C-BE32-E72D297353CC}">
              <c16:uniqueId val="{00000003-A3E6-4320-82D3-1300C3FA9116}"/>
            </c:ext>
          </c:extLst>
        </c:ser>
        <c:ser>
          <c:idx val="4"/>
          <c:order val="4"/>
          <c:tx>
            <c:v> </c:v>
          </c:tx>
          <c:spPr>
            <a:solidFill>
              <a:srgbClr val="333333"/>
            </a:solidFill>
            <a:ln w="12700">
              <a:solidFill>
                <a:srgbClr val="000000"/>
              </a:solidFill>
              <a:prstDash val="solid"/>
            </a:ln>
          </c:spPr>
          <c:invertIfNegative val="0"/>
          <c:cat>
            <c:numRef>
              <c:f>Prioritising_calcs!$B$4:$B$24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Prioritising_calcs!$G$4:$G$24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20</c:v>
                </c:pt>
                <c:pt idx="20">
                  <c:v>40</c:v>
                </c:pt>
              </c:numCache>
            </c:numRef>
          </c:val>
          <c:extLst>
            <c:ext xmlns:c16="http://schemas.microsoft.com/office/drawing/2014/chart" uri="{C3380CC4-5D6E-409C-BE32-E72D297353CC}">
              <c16:uniqueId val="{00000004-A3E6-4320-82D3-1300C3FA9116}"/>
            </c:ext>
          </c:extLst>
        </c:ser>
        <c:dLbls>
          <c:showLegendKey val="0"/>
          <c:showVal val="0"/>
          <c:showCatName val="0"/>
          <c:showSerName val="0"/>
          <c:showPercent val="0"/>
          <c:showBubbleSize val="0"/>
        </c:dLbls>
        <c:gapWidth val="0"/>
        <c:gapDepth val="0"/>
        <c:shape val="box"/>
        <c:axId val="403909080"/>
        <c:axId val="1"/>
        <c:axId val="2"/>
      </c:bar3DChart>
      <c:catAx>
        <c:axId val="403909080"/>
        <c:scaling>
          <c:orientation val="minMax"/>
        </c:scaling>
        <c:delete val="0"/>
        <c:axPos val="b"/>
        <c:title>
          <c:tx>
            <c:rich>
              <a:bodyPr rot="-1200000" vert="horz"/>
              <a:lstStyle/>
              <a:p>
                <a:pPr algn="just" rtl="0">
                  <a:defRPr sz="800" b="0" i="0" u="none" strike="noStrike" baseline="0">
                    <a:solidFill>
                      <a:srgbClr val="000000"/>
                    </a:solidFill>
                    <a:latin typeface="Arial"/>
                    <a:ea typeface="Arial"/>
                    <a:cs typeface="Arial"/>
                  </a:defRPr>
                </a:pPr>
                <a:r>
                  <a:rPr lang="en-AU"/>
                  <a:t>Funds available</a:t>
                </a:r>
              </a:p>
            </c:rich>
          </c:tx>
          <c:layout>
            <c:manualLayout>
              <c:xMode val="edge"/>
              <c:yMode val="edge"/>
              <c:x val="0.50881653811179728"/>
              <c:y val="0.76759141748506787"/>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1"/>
      </c:catAx>
      <c:valAx>
        <c:axId val="1"/>
        <c:scaling>
          <c:orientation val="minMax"/>
        </c:scaling>
        <c:delete val="0"/>
        <c:axPos val="r"/>
        <c:majorGridlines>
          <c:spPr>
            <a:ln w="3175">
              <a:solidFill>
                <a:srgbClr val="FFFFFF"/>
              </a:solidFill>
              <a:prstDash val="solid"/>
            </a:ln>
          </c:spPr>
        </c:majorGridlines>
        <c:numFmt formatCode="General"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09080"/>
        <c:crosses val="min"/>
        <c:crossBetween val="between"/>
      </c:valAx>
      <c:serAx>
        <c:axId val="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tickLblSkip val="1"/>
        <c:tickMarkSkip val="1"/>
      </c:ser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en-AU"/>
              <a:t>Allocation of funds to claims A-E</a:t>
            </a:r>
          </a:p>
        </c:rich>
      </c:tx>
      <c:layout>
        <c:manualLayout>
          <c:xMode val="edge"/>
          <c:yMode val="edge"/>
          <c:x val="0.30318301351342786"/>
          <c:y val="1.6427121193131972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view3D>
      <c:rotX val="19"/>
      <c:hPercent val="100"/>
      <c:rotY val="140"/>
      <c:depthPercent val="100"/>
      <c:rAngAx val="0"/>
    </c:view3D>
    <c:floor>
      <c:thickness val="0"/>
      <c:spPr>
        <a:solidFill>
          <a:srgbClr val="C0C0C0"/>
        </a:solidFill>
        <a:ln w="3175">
          <a:solidFill>
            <a:srgbClr val="000000"/>
          </a:solidFill>
          <a:prstDash val="solid"/>
        </a:ln>
      </c:spPr>
    </c:floor>
    <c:sideWall>
      <c:thickness val="0"/>
      <c:spPr>
        <a:noFill/>
        <a:ln w="3175">
          <a:solidFill>
            <a:srgbClr val="CCCCFF"/>
          </a:solidFill>
          <a:prstDash val="solid"/>
        </a:ln>
      </c:spPr>
    </c:sideWall>
    <c:backWall>
      <c:thickness val="0"/>
      <c:spPr>
        <a:noFill/>
        <a:ln w="3175">
          <a:solidFill>
            <a:srgbClr val="CCCCFF"/>
          </a:solidFill>
          <a:prstDash val="solid"/>
        </a:ln>
      </c:spPr>
    </c:backWall>
    <c:plotArea>
      <c:layout>
        <c:manualLayout>
          <c:layoutTarget val="inner"/>
          <c:xMode val="edge"/>
          <c:yMode val="edge"/>
          <c:x val="1.8425487009103351E-2"/>
          <c:y val="7.5975435518235365E-2"/>
          <c:w val="0.93048709395971918"/>
          <c:h val="0.77002130592806117"/>
        </c:manualLayout>
      </c:layout>
      <c:bar3DChart>
        <c:barDir val="col"/>
        <c:grouping val="standard"/>
        <c:varyColors val="0"/>
        <c:ser>
          <c:idx val="0"/>
          <c:order val="0"/>
          <c:tx>
            <c:v> </c:v>
          </c:tx>
          <c:spPr>
            <a:solidFill>
              <a:srgbClr val="FFFFFF"/>
            </a:solidFill>
            <a:ln w="12700">
              <a:solidFill>
                <a:srgbClr val="C0C0C0"/>
              </a:solidFill>
              <a:prstDash val="solid"/>
            </a:ln>
          </c:spPr>
          <c:invertIfNegative val="0"/>
          <c:cat>
            <c:numRef>
              <c:f>Prioritising_calcs!$I$4:$I$24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Prioritising_calcs!$J$4:$J$24</c:f>
              <c:numCache>
                <c:formatCode>General</c:formatCode>
                <c:ptCount val="21"/>
                <c:pt idx="0">
                  <c:v>0</c:v>
                </c:pt>
                <c:pt idx="1">
                  <c:v>6</c:v>
                </c:pt>
                <c:pt idx="2">
                  <c:v>12</c:v>
                </c:pt>
                <c:pt idx="3">
                  <c:v>18</c:v>
                </c:pt>
                <c:pt idx="4">
                  <c:v>24</c:v>
                </c:pt>
                <c:pt idx="5">
                  <c:v>30</c:v>
                </c:pt>
                <c:pt idx="6">
                  <c:v>36</c:v>
                </c:pt>
                <c:pt idx="7">
                  <c:v>42</c:v>
                </c:pt>
                <c:pt idx="8">
                  <c:v>48</c:v>
                </c:pt>
                <c:pt idx="9">
                  <c:v>54</c:v>
                </c:pt>
                <c:pt idx="10">
                  <c:v>60</c:v>
                </c:pt>
                <c:pt idx="11">
                  <c:v>66</c:v>
                </c:pt>
                <c:pt idx="12">
                  <c:v>72</c:v>
                </c:pt>
                <c:pt idx="13">
                  <c:v>78</c:v>
                </c:pt>
                <c:pt idx="14">
                  <c:v>84</c:v>
                </c:pt>
                <c:pt idx="15">
                  <c:v>90</c:v>
                </c:pt>
                <c:pt idx="16">
                  <c:v>96</c:v>
                </c:pt>
                <c:pt idx="17">
                  <c:v>102</c:v>
                </c:pt>
                <c:pt idx="18">
                  <c:v>108</c:v>
                </c:pt>
                <c:pt idx="19">
                  <c:v>114</c:v>
                </c:pt>
                <c:pt idx="20">
                  <c:v>120</c:v>
                </c:pt>
              </c:numCache>
            </c:numRef>
          </c:val>
          <c:extLst>
            <c:ext xmlns:c16="http://schemas.microsoft.com/office/drawing/2014/chart" uri="{C3380CC4-5D6E-409C-BE32-E72D297353CC}">
              <c16:uniqueId val="{00000000-92C6-4D72-9196-360F8F42531C}"/>
            </c:ext>
          </c:extLst>
        </c:ser>
        <c:ser>
          <c:idx val="1"/>
          <c:order val="1"/>
          <c:tx>
            <c:v> </c:v>
          </c:tx>
          <c:spPr>
            <a:solidFill>
              <a:srgbClr val="C0C0C0"/>
            </a:solidFill>
            <a:ln w="12700">
              <a:solidFill>
                <a:srgbClr val="808080"/>
              </a:solidFill>
              <a:prstDash val="solid"/>
            </a:ln>
          </c:spPr>
          <c:invertIfNegative val="0"/>
          <c:cat>
            <c:numRef>
              <c:f>Prioritising_calcs!$I$4:$I$24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Prioritising_calcs!$K$4:$K$24</c:f>
              <c:numCache>
                <c:formatCode>General</c:formatCode>
                <c:ptCount val="21"/>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numCache>
            </c:numRef>
          </c:val>
          <c:extLst>
            <c:ext xmlns:c16="http://schemas.microsoft.com/office/drawing/2014/chart" uri="{C3380CC4-5D6E-409C-BE32-E72D297353CC}">
              <c16:uniqueId val="{00000001-92C6-4D72-9196-360F8F42531C}"/>
            </c:ext>
          </c:extLst>
        </c:ser>
        <c:ser>
          <c:idx val="2"/>
          <c:order val="2"/>
          <c:tx>
            <c:v> </c:v>
          </c:tx>
          <c:spPr>
            <a:solidFill>
              <a:srgbClr val="969696"/>
            </a:solidFill>
            <a:ln w="12700">
              <a:solidFill>
                <a:srgbClr val="C0C0C0"/>
              </a:solidFill>
              <a:prstDash val="solid"/>
            </a:ln>
          </c:spPr>
          <c:invertIfNegative val="0"/>
          <c:cat>
            <c:numRef>
              <c:f>Prioritising_calcs!$I$4:$I$24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Prioritising_calcs!$L$4:$L$24</c:f>
              <c:numCache>
                <c:formatCode>General</c:formatCode>
                <c:ptCount val="21"/>
                <c:pt idx="0">
                  <c:v>0</c:v>
                </c:pt>
                <c:pt idx="1">
                  <c:v>4</c:v>
                </c:pt>
                <c:pt idx="2">
                  <c:v>8</c:v>
                </c:pt>
                <c:pt idx="3">
                  <c:v>12</c:v>
                </c:pt>
                <c:pt idx="4">
                  <c:v>16</c:v>
                </c:pt>
                <c:pt idx="5">
                  <c:v>20</c:v>
                </c:pt>
                <c:pt idx="6">
                  <c:v>24</c:v>
                </c:pt>
                <c:pt idx="7">
                  <c:v>28</c:v>
                </c:pt>
                <c:pt idx="8">
                  <c:v>32</c:v>
                </c:pt>
                <c:pt idx="9">
                  <c:v>36</c:v>
                </c:pt>
                <c:pt idx="10">
                  <c:v>40</c:v>
                </c:pt>
                <c:pt idx="11">
                  <c:v>44</c:v>
                </c:pt>
                <c:pt idx="12">
                  <c:v>48</c:v>
                </c:pt>
                <c:pt idx="13">
                  <c:v>52</c:v>
                </c:pt>
                <c:pt idx="14">
                  <c:v>56</c:v>
                </c:pt>
                <c:pt idx="15">
                  <c:v>60</c:v>
                </c:pt>
                <c:pt idx="16">
                  <c:v>64</c:v>
                </c:pt>
                <c:pt idx="17">
                  <c:v>68</c:v>
                </c:pt>
                <c:pt idx="18">
                  <c:v>72</c:v>
                </c:pt>
                <c:pt idx="19">
                  <c:v>76</c:v>
                </c:pt>
                <c:pt idx="20">
                  <c:v>80</c:v>
                </c:pt>
              </c:numCache>
            </c:numRef>
          </c:val>
          <c:extLst>
            <c:ext xmlns:c16="http://schemas.microsoft.com/office/drawing/2014/chart" uri="{C3380CC4-5D6E-409C-BE32-E72D297353CC}">
              <c16:uniqueId val="{00000002-92C6-4D72-9196-360F8F42531C}"/>
            </c:ext>
          </c:extLst>
        </c:ser>
        <c:ser>
          <c:idx val="3"/>
          <c:order val="3"/>
          <c:tx>
            <c:v> </c:v>
          </c:tx>
          <c:spPr>
            <a:solidFill>
              <a:srgbClr val="808080"/>
            </a:solidFill>
            <a:ln w="12700">
              <a:solidFill>
                <a:srgbClr val="C0C0C0"/>
              </a:solidFill>
              <a:prstDash val="solid"/>
            </a:ln>
          </c:spPr>
          <c:invertIfNegative val="0"/>
          <c:cat>
            <c:numRef>
              <c:f>Prioritising_calcs!$I$4:$I$24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Prioritising_calcs!$M$4:$M$24</c:f>
              <c:numCache>
                <c:formatCode>General</c:formatCode>
                <c:ptCount val="21"/>
                <c:pt idx="0">
                  <c:v>0</c:v>
                </c:pt>
                <c:pt idx="1">
                  <c:v>3</c:v>
                </c:pt>
                <c:pt idx="2">
                  <c:v>6</c:v>
                </c:pt>
                <c:pt idx="3">
                  <c:v>9</c:v>
                </c:pt>
                <c:pt idx="4">
                  <c:v>12</c:v>
                </c:pt>
                <c:pt idx="5">
                  <c:v>15</c:v>
                </c:pt>
                <c:pt idx="6">
                  <c:v>18</c:v>
                </c:pt>
                <c:pt idx="7">
                  <c:v>21</c:v>
                </c:pt>
                <c:pt idx="8">
                  <c:v>24</c:v>
                </c:pt>
                <c:pt idx="9">
                  <c:v>27</c:v>
                </c:pt>
                <c:pt idx="10">
                  <c:v>30</c:v>
                </c:pt>
                <c:pt idx="11">
                  <c:v>33</c:v>
                </c:pt>
                <c:pt idx="12">
                  <c:v>36</c:v>
                </c:pt>
                <c:pt idx="13">
                  <c:v>39</c:v>
                </c:pt>
                <c:pt idx="14">
                  <c:v>42</c:v>
                </c:pt>
                <c:pt idx="15">
                  <c:v>45</c:v>
                </c:pt>
                <c:pt idx="16">
                  <c:v>48</c:v>
                </c:pt>
                <c:pt idx="17">
                  <c:v>51</c:v>
                </c:pt>
                <c:pt idx="18">
                  <c:v>54</c:v>
                </c:pt>
                <c:pt idx="19">
                  <c:v>57</c:v>
                </c:pt>
                <c:pt idx="20">
                  <c:v>60</c:v>
                </c:pt>
              </c:numCache>
            </c:numRef>
          </c:val>
          <c:extLst>
            <c:ext xmlns:c16="http://schemas.microsoft.com/office/drawing/2014/chart" uri="{C3380CC4-5D6E-409C-BE32-E72D297353CC}">
              <c16:uniqueId val="{00000003-92C6-4D72-9196-360F8F42531C}"/>
            </c:ext>
          </c:extLst>
        </c:ser>
        <c:ser>
          <c:idx val="4"/>
          <c:order val="4"/>
          <c:tx>
            <c:v> </c:v>
          </c:tx>
          <c:spPr>
            <a:solidFill>
              <a:srgbClr val="333333"/>
            </a:solidFill>
            <a:ln w="12700">
              <a:solidFill>
                <a:srgbClr val="000000"/>
              </a:solidFill>
              <a:prstDash val="solid"/>
            </a:ln>
          </c:spPr>
          <c:invertIfNegative val="0"/>
          <c:cat>
            <c:numRef>
              <c:f>Prioritising_calcs!$I$4:$I$24</c:f>
              <c:numCache>
                <c:formatCode>General</c:formatCode>
                <c:ptCount val="21"/>
                <c:pt idx="0">
                  <c:v>0</c:v>
                </c:pt>
                <c:pt idx="1">
                  <c:v>20</c:v>
                </c:pt>
                <c:pt idx="2">
                  <c:v>40</c:v>
                </c:pt>
                <c:pt idx="3">
                  <c:v>60</c:v>
                </c:pt>
                <c:pt idx="4">
                  <c:v>80</c:v>
                </c:pt>
                <c:pt idx="5">
                  <c:v>100</c:v>
                </c:pt>
                <c:pt idx="6">
                  <c:v>120</c:v>
                </c:pt>
                <c:pt idx="7">
                  <c:v>140</c:v>
                </c:pt>
                <c:pt idx="8">
                  <c:v>160</c:v>
                </c:pt>
                <c:pt idx="9">
                  <c:v>180</c:v>
                </c:pt>
                <c:pt idx="10">
                  <c:v>200</c:v>
                </c:pt>
                <c:pt idx="11">
                  <c:v>220</c:v>
                </c:pt>
                <c:pt idx="12">
                  <c:v>240</c:v>
                </c:pt>
                <c:pt idx="13">
                  <c:v>260</c:v>
                </c:pt>
                <c:pt idx="14">
                  <c:v>280</c:v>
                </c:pt>
                <c:pt idx="15">
                  <c:v>300</c:v>
                </c:pt>
                <c:pt idx="16">
                  <c:v>320</c:v>
                </c:pt>
                <c:pt idx="17">
                  <c:v>340</c:v>
                </c:pt>
                <c:pt idx="18">
                  <c:v>360</c:v>
                </c:pt>
                <c:pt idx="19">
                  <c:v>380</c:v>
                </c:pt>
                <c:pt idx="20">
                  <c:v>400</c:v>
                </c:pt>
              </c:numCache>
            </c:numRef>
          </c:cat>
          <c:val>
            <c:numRef>
              <c:f>Prioritising_calcs!$N$4:$N$24</c:f>
              <c:numCache>
                <c:formatCode>General</c:formatCode>
                <c:ptCount val="21"/>
                <c:pt idx="0">
                  <c:v>0</c:v>
                </c:pt>
                <c:pt idx="1">
                  <c:v>2</c:v>
                </c:pt>
                <c:pt idx="2">
                  <c:v>4</c:v>
                </c:pt>
                <c:pt idx="3">
                  <c:v>6</c:v>
                </c:pt>
                <c:pt idx="4">
                  <c:v>8</c:v>
                </c:pt>
                <c:pt idx="5">
                  <c:v>10</c:v>
                </c:pt>
                <c:pt idx="6">
                  <c:v>12</c:v>
                </c:pt>
                <c:pt idx="7">
                  <c:v>14</c:v>
                </c:pt>
                <c:pt idx="8">
                  <c:v>16</c:v>
                </c:pt>
                <c:pt idx="9">
                  <c:v>18</c:v>
                </c:pt>
                <c:pt idx="10">
                  <c:v>20</c:v>
                </c:pt>
                <c:pt idx="11">
                  <c:v>22</c:v>
                </c:pt>
                <c:pt idx="12">
                  <c:v>24</c:v>
                </c:pt>
                <c:pt idx="13">
                  <c:v>26</c:v>
                </c:pt>
                <c:pt idx="14">
                  <c:v>28</c:v>
                </c:pt>
                <c:pt idx="15">
                  <c:v>30</c:v>
                </c:pt>
                <c:pt idx="16">
                  <c:v>32</c:v>
                </c:pt>
                <c:pt idx="17">
                  <c:v>34</c:v>
                </c:pt>
                <c:pt idx="18">
                  <c:v>36</c:v>
                </c:pt>
                <c:pt idx="19">
                  <c:v>38</c:v>
                </c:pt>
                <c:pt idx="20">
                  <c:v>40</c:v>
                </c:pt>
              </c:numCache>
            </c:numRef>
          </c:val>
          <c:extLst>
            <c:ext xmlns:c16="http://schemas.microsoft.com/office/drawing/2014/chart" uri="{C3380CC4-5D6E-409C-BE32-E72D297353CC}">
              <c16:uniqueId val="{00000004-92C6-4D72-9196-360F8F42531C}"/>
            </c:ext>
          </c:extLst>
        </c:ser>
        <c:dLbls>
          <c:showLegendKey val="0"/>
          <c:showVal val="0"/>
          <c:showCatName val="0"/>
          <c:showSerName val="0"/>
          <c:showPercent val="0"/>
          <c:showBubbleSize val="0"/>
        </c:dLbls>
        <c:gapWidth val="0"/>
        <c:gapDepth val="0"/>
        <c:shape val="box"/>
        <c:axId val="403909736"/>
        <c:axId val="1"/>
        <c:axId val="2"/>
      </c:bar3DChart>
      <c:catAx>
        <c:axId val="403909736"/>
        <c:scaling>
          <c:orientation val="minMax"/>
        </c:scaling>
        <c:delete val="0"/>
        <c:axPos val="b"/>
        <c:title>
          <c:tx>
            <c:rich>
              <a:bodyPr rot="-1200000" vert="horz"/>
              <a:lstStyle/>
              <a:p>
                <a:pPr algn="just" rtl="0">
                  <a:defRPr sz="800" b="0" i="0" u="none" strike="noStrike" baseline="0">
                    <a:solidFill>
                      <a:srgbClr val="000000"/>
                    </a:solidFill>
                    <a:latin typeface="Arial"/>
                    <a:ea typeface="Arial"/>
                    <a:cs typeface="Arial"/>
                  </a:defRPr>
                </a:pPr>
                <a:r>
                  <a:rPr lang="en-AU"/>
                  <a:t>Funds available</a:t>
                </a:r>
              </a:p>
            </c:rich>
          </c:tx>
          <c:layout>
            <c:manualLayout>
              <c:xMode val="edge"/>
              <c:yMode val="edge"/>
              <c:x val="0.5000007156561227"/>
              <c:y val="0.7618077453314952"/>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1"/>
      </c:catAx>
      <c:valAx>
        <c:axId val="1"/>
        <c:scaling>
          <c:orientation val="minMax"/>
        </c:scaling>
        <c:delete val="0"/>
        <c:axPos val="r"/>
        <c:majorGridlines>
          <c:spPr>
            <a:ln w="3175">
              <a:solidFill>
                <a:srgbClr val="FFFFFF"/>
              </a:solidFill>
              <a:prstDash val="solid"/>
            </a:ln>
          </c:spPr>
        </c:majorGridlines>
        <c:numFmt formatCode="General"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09736"/>
        <c:crosses val="min"/>
        <c:crossBetween val="between"/>
      </c:valAx>
      <c:serAx>
        <c:axId val="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tickLblSkip val="1"/>
        <c:tickMarkSkip val="1"/>
      </c:ser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Ranking_calcs!$F$5</c:f>
          <c:strCache>
            <c:ptCount val="1"/>
            <c:pt idx="0">
              <c:v>Transactions ordered by code in increasing order.</c:v>
            </c:pt>
          </c:strCache>
        </c:strRef>
      </c:tx>
      <c:layout>
        <c:manualLayout>
          <c:xMode val="edge"/>
          <c:yMode val="edge"/>
          <c:x val="0.32060404666513737"/>
          <c:y val="4.060933836323348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7.0159888328381853E-2"/>
          <c:y val="0.19035627357765694"/>
          <c:w val="0.91030234856444814"/>
          <c:h val="0.51015481318812061"/>
        </c:manualLayout>
      </c:layout>
      <c:barChart>
        <c:barDir val="col"/>
        <c:grouping val="cluster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12700">
              <a:solidFill>
                <a:srgbClr val="000000"/>
              </a:solidFill>
              <a:prstDash val="solid"/>
            </a:ln>
          </c:spPr>
          <c:invertIfNegative val="0"/>
          <c:cat>
            <c:strRef>
              <c:f>Ranking_calcs!$Z$3:$Z$29</c:f>
              <c:strCache>
                <c:ptCount val="27"/>
                <c:pt idx="0">
                  <c:v>ABD-80</c:v>
                </c:pt>
                <c:pt idx="1">
                  <c:v>ACD-74</c:v>
                </c:pt>
                <c:pt idx="2">
                  <c:v>ADC-58</c:v>
                </c:pt>
                <c:pt idx="3">
                  <c:v>AHG-81</c:v>
                </c:pt>
                <c:pt idx="4">
                  <c:v>BIB-77</c:v>
                </c:pt>
                <c:pt idx="5">
                  <c:v>BIC-30</c:v>
                </c:pt>
                <c:pt idx="6">
                  <c:v>CAA-60</c:v>
                </c:pt>
                <c:pt idx="7">
                  <c:v>CGJ-33</c:v>
                </c:pt>
                <c:pt idx="8">
                  <c:v>CJF-32</c:v>
                </c:pt>
                <c:pt idx="9">
                  <c:v>DII-34</c:v>
                </c:pt>
                <c:pt idx="10">
                  <c:v>EAD-53</c:v>
                </c:pt>
                <c:pt idx="11">
                  <c:v>EGE-33</c:v>
                </c:pt>
                <c:pt idx="12">
                  <c:v>EID-69</c:v>
                </c:pt>
                <c:pt idx="13">
                  <c:v>FCI-84</c:v>
                </c:pt>
                <c:pt idx="14">
                  <c:v>FED-17</c:v>
                </c:pt>
                <c:pt idx="15">
                  <c:v>FFB-37</c:v>
                </c:pt>
                <c:pt idx="16">
                  <c:v>FGD-28</c:v>
                </c:pt>
                <c:pt idx="17">
                  <c:v>GIE-35</c:v>
                </c:pt>
                <c:pt idx="18">
                  <c:v>HCG-33</c:v>
                </c:pt>
                <c:pt idx="19">
                  <c:v>HEJ-61</c:v>
                </c:pt>
                <c:pt idx="20">
                  <c:v>HFF-90</c:v>
                </c:pt>
                <c:pt idx="21">
                  <c:v>HGD-98</c:v>
                </c:pt>
                <c:pt idx="22">
                  <c:v>HHE-97</c:v>
                </c:pt>
                <c:pt idx="23">
                  <c:v>ICC-26</c:v>
                </c:pt>
                <c:pt idx="24">
                  <c:v>IHE-25</c:v>
                </c:pt>
                <c:pt idx="25">
                  <c:v>JFG-72</c:v>
                </c:pt>
                <c:pt idx="26">
                  <c:v>JHC-24</c:v>
                </c:pt>
              </c:strCache>
            </c:strRef>
          </c:cat>
          <c:val>
            <c:numRef>
              <c:f>Ranking_calcs!$AA$3:$AA$29</c:f>
              <c:numCache>
                <c:formatCode>General</c:formatCode>
                <c:ptCount val="27"/>
                <c:pt idx="0">
                  <c:v>87.32</c:v>
                </c:pt>
                <c:pt idx="1">
                  <c:v>81.849999999999994</c:v>
                </c:pt>
                <c:pt idx="2">
                  <c:v>80.930000000000007</c:v>
                </c:pt>
                <c:pt idx="3">
                  <c:v>89.01</c:v>
                </c:pt>
                <c:pt idx="4">
                  <c:v>24.06</c:v>
                </c:pt>
                <c:pt idx="5">
                  <c:v>94.54</c:v>
                </c:pt>
                <c:pt idx="6">
                  <c:v>14.07</c:v>
                </c:pt>
                <c:pt idx="7">
                  <c:v>45.08</c:v>
                </c:pt>
                <c:pt idx="8">
                  <c:v>44.01</c:v>
                </c:pt>
                <c:pt idx="9">
                  <c:v>36.74</c:v>
                </c:pt>
                <c:pt idx="10">
                  <c:v>68.98</c:v>
                </c:pt>
                <c:pt idx="11">
                  <c:v>91.38</c:v>
                </c:pt>
                <c:pt idx="12">
                  <c:v>79.88</c:v>
                </c:pt>
                <c:pt idx="13">
                  <c:v>65.099999999999994</c:v>
                </c:pt>
                <c:pt idx="14">
                  <c:v>69.58</c:v>
                </c:pt>
                <c:pt idx="15">
                  <c:v>77.52</c:v>
                </c:pt>
                <c:pt idx="16">
                  <c:v>28.15</c:v>
                </c:pt>
                <c:pt idx="17">
                  <c:v>35.869999999999997</c:v>
                </c:pt>
                <c:pt idx="18">
                  <c:v>88.07</c:v>
                </c:pt>
                <c:pt idx="19">
                  <c:v>3.92</c:v>
                </c:pt>
                <c:pt idx="20">
                  <c:v>25.93</c:v>
                </c:pt>
                <c:pt idx="21">
                  <c:v>2.2999999999999998</c:v>
                </c:pt>
                <c:pt idx="22">
                  <c:v>58.66</c:v>
                </c:pt>
                <c:pt idx="23">
                  <c:v>64.739999999999995</c:v>
                </c:pt>
                <c:pt idx="24">
                  <c:v>52.75</c:v>
                </c:pt>
                <c:pt idx="25">
                  <c:v>83.02</c:v>
                </c:pt>
                <c:pt idx="26">
                  <c:v>49.96</c:v>
                </c:pt>
              </c:numCache>
            </c:numRef>
          </c:val>
          <c:extLst>
            <c:ext xmlns:c16="http://schemas.microsoft.com/office/drawing/2014/chart" uri="{C3380CC4-5D6E-409C-BE32-E72D297353CC}">
              <c16:uniqueId val="{00000000-CCD5-48CE-9CD9-B227479734DB}"/>
            </c:ext>
          </c:extLst>
        </c:ser>
        <c:dLbls>
          <c:showLegendKey val="0"/>
          <c:showVal val="0"/>
          <c:showCatName val="0"/>
          <c:showSerName val="0"/>
          <c:showPercent val="0"/>
          <c:showBubbleSize val="0"/>
        </c:dLbls>
        <c:gapWidth val="150"/>
        <c:axId val="403914000"/>
        <c:axId val="1"/>
      </c:barChart>
      <c:catAx>
        <c:axId val="403914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25"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CCCFF"/>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403914000"/>
        <c:crosses val="autoZero"/>
        <c:crossBetween val="between"/>
      </c:valAx>
      <c:spPr>
        <a:noFill/>
        <a:ln w="12700">
          <a:solidFill>
            <a:srgbClr val="808080"/>
          </a:solidFill>
          <a:prstDash val="solid"/>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Scenario_Analysing_calcs!$B$7</c:f>
          <c:strCache>
            <c:ptCount val="1"/>
            <c:pt idx="0">
              <c:v>This is what makes equity value differ between base case and scenario 3.</c:v>
            </c:pt>
          </c:strCache>
        </c:strRef>
      </c:tx>
      <c:layout>
        <c:manualLayout>
          <c:xMode val="edge"/>
          <c:yMode val="edge"/>
          <c:x val="0.26661554925308706"/>
          <c:y val="1.8475771411946326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8.0371064122669714E-2"/>
          <c:y val="0.16859141413401024"/>
          <c:w val="0.90185607529957268"/>
          <c:h val="0.60046257088825561"/>
        </c:manualLayout>
      </c:layout>
      <c:barChart>
        <c:barDir val="col"/>
        <c:grouping val="stack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25400">
              <a:noFill/>
            </a:ln>
          </c:spPr>
          <c:invertIfNegative val="0"/>
          <c:cat>
            <c:strRef>
              <c:f>[0]!chart_label</c:f>
              <c:strCache>
                <c:ptCount val="5"/>
                <c:pt idx="0">
                  <c:v>Base</c:v>
                </c:pt>
                <c:pt idx="1">
                  <c:v>Curr assets / sales</c:v>
                </c:pt>
                <c:pt idx="2">
                  <c:v>Fixed assets / sales</c:v>
                </c:pt>
                <c:pt idx="3">
                  <c:v>COGS / sales</c:v>
                </c:pt>
                <c:pt idx="4">
                  <c:v>Scenario 3</c:v>
                </c:pt>
              </c:strCache>
            </c:strRef>
          </c:cat>
          <c:val>
            <c:numRef>
              <c:f>[0]!chart_series_1</c:f>
              <c:numCache>
                <c:formatCode>0</c:formatCode>
                <c:ptCount val="5"/>
                <c:pt idx="0">
                  <c:v>1563.2014127962655</c:v>
                </c:pt>
                <c:pt idx="1">
                  <c:v>0</c:v>
                </c:pt>
                <c:pt idx="2">
                  <c:v>0</c:v>
                </c:pt>
                <c:pt idx="3">
                  <c:v>0</c:v>
                </c:pt>
                <c:pt idx="4">
                  <c:v>2082.2128841471099</c:v>
                </c:pt>
              </c:numCache>
            </c:numRef>
          </c:val>
          <c:extLst>
            <c:ext xmlns:c16="http://schemas.microsoft.com/office/drawing/2014/chart" uri="{C3380CC4-5D6E-409C-BE32-E72D297353CC}">
              <c16:uniqueId val="{00000000-1BC9-421D-AF51-AA06E4395FD9}"/>
            </c:ext>
          </c:extLst>
        </c:ser>
        <c:ser>
          <c:idx val="1"/>
          <c:order val="1"/>
          <c:spPr>
            <a:noFill/>
            <a:ln w="25400">
              <a:noFill/>
            </a:ln>
          </c:spPr>
          <c:invertIfNegative val="0"/>
          <c:cat>
            <c:strRef>
              <c:f>[0]!chart_label</c:f>
              <c:strCache>
                <c:ptCount val="5"/>
                <c:pt idx="0">
                  <c:v>Base</c:v>
                </c:pt>
                <c:pt idx="1">
                  <c:v>Curr assets / sales</c:v>
                </c:pt>
                <c:pt idx="2">
                  <c:v>Fixed assets / sales</c:v>
                </c:pt>
                <c:pt idx="3">
                  <c:v>COGS / sales</c:v>
                </c:pt>
                <c:pt idx="4">
                  <c:v>Scenario 3</c:v>
                </c:pt>
              </c:strCache>
            </c:strRef>
          </c:cat>
          <c:val>
            <c:numRef>
              <c:f>[0]!chart_series_2</c:f>
              <c:numCache>
                <c:formatCode>0</c:formatCode>
                <c:ptCount val="5"/>
                <c:pt idx="0">
                  <c:v>0</c:v>
                </c:pt>
                <c:pt idx="1">
                  <c:v>1563.2014127962655</c:v>
                </c:pt>
                <c:pt idx="2">
                  <c:v>1597.1019821456441</c:v>
                </c:pt>
                <c:pt idx="3">
                  <c:v>1727.3309416543379</c:v>
                </c:pt>
                <c:pt idx="4">
                  <c:v>0</c:v>
                </c:pt>
              </c:numCache>
            </c:numRef>
          </c:val>
          <c:extLst>
            <c:ext xmlns:c16="http://schemas.microsoft.com/office/drawing/2014/chart" uri="{C3380CC4-5D6E-409C-BE32-E72D297353CC}">
              <c16:uniqueId val="{00000001-1BC9-421D-AF51-AA06E4395FD9}"/>
            </c:ext>
          </c:extLst>
        </c:ser>
        <c:ser>
          <c:idx val="2"/>
          <c:order val="2"/>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25400">
              <a:noFill/>
            </a:ln>
          </c:spPr>
          <c:invertIfNegative val="0"/>
          <c:cat>
            <c:strRef>
              <c:f>[0]!chart_label</c:f>
              <c:strCache>
                <c:ptCount val="5"/>
                <c:pt idx="0">
                  <c:v>Base</c:v>
                </c:pt>
                <c:pt idx="1">
                  <c:v>Curr assets / sales</c:v>
                </c:pt>
                <c:pt idx="2">
                  <c:v>Fixed assets / sales</c:v>
                </c:pt>
                <c:pt idx="3">
                  <c:v>COGS / sales</c:v>
                </c:pt>
                <c:pt idx="4">
                  <c:v>Scenario 3</c:v>
                </c:pt>
              </c:strCache>
            </c:strRef>
          </c:cat>
          <c:val>
            <c:numRef>
              <c:f>[0]!chart_series_3</c:f>
              <c:numCache>
                <c:formatCode>0</c:formatCode>
                <c:ptCount val="5"/>
                <c:pt idx="0">
                  <c:v>0</c:v>
                </c:pt>
                <c:pt idx="1">
                  <c:v>33.900569349378657</c:v>
                </c:pt>
                <c:pt idx="2">
                  <c:v>130.22895950869383</c:v>
                </c:pt>
                <c:pt idx="3">
                  <c:v>354.88194249277194</c:v>
                </c:pt>
                <c:pt idx="4">
                  <c:v>0</c:v>
                </c:pt>
              </c:numCache>
            </c:numRef>
          </c:val>
          <c:extLst>
            <c:ext xmlns:c16="http://schemas.microsoft.com/office/drawing/2014/chart" uri="{C3380CC4-5D6E-409C-BE32-E72D297353CC}">
              <c16:uniqueId val="{00000002-1BC9-421D-AF51-AA06E4395FD9}"/>
            </c:ext>
          </c:extLst>
        </c:ser>
        <c:dLbls>
          <c:showLegendKey val="0"/>
          <c:showVal val="0"/>
          <c:showCatName val="0"/>
          <c:showSerName val="0"/>
          <c:showPercent val="0"/>
          <c:showBubbleSize val="0"/>
        </c:dLbls>
        <c:gapWidth val="2"/>
        <c:overlap val="100"/>
        <c:axId val="405049280"/>
        <c:axId val="1"/>
      </c:barChart>
      <c:catAx>
        <c:axId val="40504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5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olid"/>
            </a:ln>
          </c:spPr>
        </c:majorGridlines>
        <c:title>
          <c:tx>
            <c:rich>
              <a:bodyPr/>
              <a:lstStyle/>
              <a:p>
                <a:pPr>
                  <a:defRPr sz="950" b="0" i="0" u="none" strike="noStrike" baseline="0">
                    <a:solidFill>
                      <a:srgbClr val="000000"/>
                    </a:solidFill>
                    <a:latin typeface="Arial"/>
                    <a:ea typeface="Arial"/>
                    <a:cs typeface="Arial"/>
                  </a:defRPr>
                </a:pPr>
                <a:r>
                  <a:rPr lang="en-AU"/>
                  <a:t>Equity value</a:t>
                </a:r>
              </a:p>
            </c:rich>
          </c:tx>
          <c:layout>
            <c:manualLayout>
              <c:xMode val="edge"/>
              <c:yMode val="edge"/>
              <c:x val="7.7279869348720887E-3"/>
              <c:y val="0.3441112425475003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405049280"/>
        <c:crosses val="autoZero"/>
        <c:crossBetween val="between"/>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seasonalising_calcs!$N$15</c:f>
          <c:strCache>
            <c:ptCount val="1"/>
            <c:pt idx="0">
              <c:v> Data Set 2</c:v>
            </c:pt>
          </c:strCache>
        </c:strRef>
      </c:tx>
      <c:layout>
        <c:manualLayout>
          <c:xMode val="edge"/>
          <c:yMode val="edge"/>
          <c:x val="0.4392645931950846"/>
          <c:y val="1.346801900351949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9.8159685630186497E-2"/>
          <c:y val="0.10269364490183611"/>
          <c:w val="0.8613512414048865"/>
          <c:h val="0.73905754281813196"/>
        </c:manualLayout>
      </c:layout>
      <c:scatterChart>
        <c:scatterStyle val="lineMarker"/>
        <c:varyColors val="0"/>
        <c:ser>
          <c:idx val="0"/>
          <c:order val="0"/>
          <c:tx>
            <c:strRef>
              <c:f>seasonalising_calcs!$O$18</c:f>
              <c:strCache>
                <c:ptCount val="1"/>
                <c:pt idx="0">
                  <c:v>Actual historic</c:v>
                </c:pt>
              </c:strCache>
            </c:strRef>
          </c:tx>
          <c:spPr>
            <a:ln w="25400">
              <a:solidFill>
                <a:srgbClr val="000080"/>
              </a:solidFill>
              <a:prstDash val="solid"/>
            </a:ln>
          </c:spPr>
          <c:marker>
            <c:symbol val="square"/>
            <c:size val="3"/>
            <c:spPr>
              <a:solidFill>
                <a:srgbClr val="000080"/>
              </a:solidFill>
              <a:ln>
                <a:solidFill>
                  <a:srgbClr val="000080"/>
                </a:solidFill>
                <a:prstDash val="solid"/>
              </a:ln>
            </c:spPr>
          </c:marker>
          <c:xVal>
            <c:numRef>
              <c:f>seasonalising_calcs!$H$3:$H$18</c:f>
              <c:numCache>
                <c:formatCode>0.00</c:formatCode>
                <c:ptCount val="16"/>
                <c:pt idx="0">
                  <c:v>2006</c:v>
                </c:pt>
                <c:pt idx="1">
                  <c:v>2006.25</c:v>
                </c:pt>
                <c:pt idx="2">
                  <c:v>2006.5</c:v>
                </c:pt>
                <c:pt idx="3">
                  <c:v>2006.75</c:v>
                </c:pt>
                <c:pt idx="4">
                  <c:v>2007</c:v>
                </c:pt>
                <c:pt idx="5">
                  <c:v>2007.25</c:v>
                </c:pt>
                <c:pt idx="6">
                  <c:v>2007.5</c:v>
                </c:pt>
                <c:pt idx="7">
                  <c:v>2007.75</c:v>
                </c:pt>
                <c:pt idx="8">
                  <c:v>2008</c:v>
                </c:pt>
                <c:pt idx="9">
                  <c:v>2008.25</c:v>
                </c:pt>
                <c:pt idx="10">
                  <c:v>2008.5</c:v>
                </c:pt>
                <c:pt idx="11">
                  <c:v>2008.75</c:v>
                </c:pt>
                <c:pt idx="12">
                  <c:v>2009</c:v>
                </c:pt>
                <c:pt idx="13">
                  <c:v>2009.25</c:v>
                </c:pt>
                <c:pt idx="14">
                  <c:v>2009.5</c:v>
                </c:pt>
                <c:pt idx="15">
                  <c:v>2009.75</c:v>
                </c:pt>
              </c:numCache>
            </c:numRef>
          </c:xVal>
          <c:yVal>
            <c:numRef>
              <c:f>seasonalising_calcs!$E$3:$E$18</c:f>
              <c:numCache>
                <c:formatCode>#,##0</c:formatCode>
                <c:ptCount val="16"/>
                <c:pt idx="0">
                  <c:v>600</c:v>
                </c:pt>
                <c:pt idx="1">
                  <c:v>728.8900307156963</c:v>
                </c:pt>
                <c:pt idx="2">
                  <c:v>769.51967443480157</c:v>
                </c:pt>
                <c:pt idx="3">
                  <c:v>881.09370265629116</c:v>
                </c:pt>
                <c:pt idx="4">
                  <c:v>725.71587503886167</c:v>
                </c:pt>
                <c:pt idx="5">
                  <c:v>725.32387671865592</c:v>
                </c:pt>
                <c:pt idx="6">
                  <c:v>675.90742647204775</c:v>
                </c:pt>
                <c:pt idx="7">
                  <c:v>822.06983032838514</c:v>
                </c:pt>
                <c:pt idx="8">
                  <c:v>700.07173741929364</c:v>
                </c:pt>
                <c:pt idx="9">
                  <c:v>845.77205887309503</c:v>
                </c:pt>
                <c:pt idx="10">
                  <c:v>838.44598493922126</c:v>
                </c:pt>
                <c:pt idx="11">
                  <c:v>862.78641492348743</c:v>
                </c:pt>
                <c:pt idx="12">
                  <c:v>782.79976726288726</c:v>
                </c:pt>
                <c:pt idx="13">
                  <c:v>885.85392788992101</c:v>
                </c:pt>
                <c:pt idx="14">
                  <c:v>959.86054783575264</c:v>
                </c:pt>
                <c:pt idx="15">
                  <c:v>1032.4420445856556</c:v>
                </c:pt>
              </c:numCache>
            </c:numRef>
          </c:yVal>
          <c:smooth val="0"/>
          <c:extLst>
            <c:ext xmlns:c16="http://schemas.microsoft.com/office/drawing/2014/chart" uri="{C3380CC4-5D6E-409C-BE32-E72D297353CC}">
              <c16:uniqueId val="{00000000-0D85-43B3-9AB4-391693DFA328}"/>
            </c:ext>
          </c:extLst>
        </c:ser>
        <c:ser>
          <c:idx val="1"/>
          <c:order val="1"/>
          <c:tx>
            <c:strRef>
              <c:f>seasonalising_calcs!$O$19</c:f>
              <c:strCache>
                <c:ptCount val="1"/>
                <c:pt idx="0">
                  <c:v>Seasonalised historic</c:v>
                </c:pt>
              </c:strCache>
            </c:strRef>
          </c:tx>
          <c:spPr>
            <a:ln w="25400">
              <a:solidFill>
                <a:srgbClr val="FF9900"/>
              </a:solidFill>
              <a:prstDash val="solid"/>
            </a:ln>
          </c:spPr>
          <c:marker>
            <c:symbol val="none"/>
          </c:marker>
          <c:xVal>
            <c:numRef>
              <c:f>seasonalising_calcs!$J$3:$J$18</c:f>
              <c:numCache>
                <c:formatCode>#,##0</c:formatCode>
                <c:ptCount val="16"/>
                <c:pt idx="0">
                  <c:v>2006</c:v>
                </c:pt>
                <c:pt idx="1">
                  <c:v>2006.25</c:v>
                </c:pt>
                <c:pt idx="2">
                  <c:v>2006.5</c:v>
                </c:pt>
                <c:pt idx="3">
                  <c:v>2006.75</c:v>
                </c:pt>
                <c:pt idx="4">
                  <c:v>2007</c:v>
                </c:pt>
                <c:pt idx="5">
                  <c:v>2007.25</c:v>
                </c:pt>
                <c:pt idx="6">
                  <c:v>2007.5</c:v>
                </c:pt>
                <c:pt idx="7">
                  <c:v>2007.75</c:v>
                </c:pt>
                <c:pt idx="8">
                  <c:v>2008</c:v>
                </c:pt>
                <c:pt idx="9">
                  <c:v>2008.25</c:v>
                </c:pt>
                <c:pt idx="10">
                  <c:v>2008.5</c:v>
                </c:pt>
                <c:pt idx="11">
                  <c:v>2008.75</c:v>
                </c:pt>
                <c:pt idx="12">
                  <c:v>2009</c:v>
                </c:pt>
                <c:pt idx="13">
                  <c:v>2009.25</c:v>
                </c:pt>
                <c:pt idx="14">
                  <c:v>2009.5</c:v>
                </c:pt>
                <c:pt idx="15">
                  <c:v>2009.75</c:v>
                </c:pt>
              </c:numCache>
            </c:numRef>
          </c:xVal>
          <c:yVal>
            <c:numRef>
              <c:f>seasonalising_calcs!$K$3:$K$18</c:f>
              <c:numCache>
                <c:formatCode>General</c:formatCode>
                <c:ptCount val="16"/>
                <c:pt idx="0">
                  <c:v>651.90364844292992</c:v>
                </c:pt>
                <c:pt idx="1">
                  <c:v>739.46805621144051</c:v>
                </c:pt>
                <c:pt idx="2">
                  <c:v>752.90582220883289</c:v>
                </c:pt>
                <c:pt idx="3">
                  <c:v>835.22588094358582</c:v>
                </c:pt>
                <c:pt idx="4">
                  <c:v>645.23334397335555</c:v>
                </c:pt>
                <c:pt idx="5">
                  <c:v>731.9017891837351</c:v>
                </c:pt>
                <c:pt idx="6">
                  <c:v>745.20205941651932</c:v>
                </c:pt>
                <c:pt idx="7">
                  <c:v>826.67981598434073</c:v>
                </c:pt>
                <c:pt idx="8">
                  <c:v>710.44752407377177</c:v>
                </c:pt>
                <c:pt idx="9">
                  <c:v>805.87560895213187</c:v>
                </c:pt>
                <c:pt idx="10">
                  <c:v>820.52014669130949</c:v>
                </c:pt>
                <c:pt idx="11">
                  <c:v>910.23291643788446</c:v>
                </c:pt>
                <c:pt idx="12">
                  <c:v>801.00286323098533</c:v>
                </c:pt>
                <c:pt idx="13">
                  <c:v>908.59443985006124</c:v>
                </c:pt>
                <c:pt idx="14">
                  <c:v>925.10560536516186</c:v>
                </c:pt>
                <c:pt idx="15">
                  <c:v>1026.2533791280089</c:v>
                </c:pt>
              </c:numCache>
            </c:numRef>
          </c:yVal>
          <c:smooth val="0"/>
          <c:extLst>
            <c:ext xmlns:c16="http://schemas.microsoft.com/office/drawing/2014/chart" uri="{C3380CC4-5D6E-409C-BE32-E72D297353CC}">
              <c16:uniqueId val="{00000001-0D85-43B3-9AB4-391693DFA328}"/>
            </c:ext>
          </c:extLst>
        </c:ser>
        <c:ser>
          <c:idx val="2"/>
          <c:order val="2"/>
          <c:tx>
            <c:strRef>
              <c:f>seasonalising_calcs!$O$20</c:f>
              <c:strCache>
                <c:ptCount val="1"/>
                <c:pt idx="0">
                  <c:v>Seasonalised future</c:v>
                </c:pt>
              </c:strCache>
            </c:strRef>
          </c:tx>
          <c:spPr>
            <a:ln w="38100">
              <a:solidFill>
                <a:srgbClr val="FF0000"/>
              </a:solidFill>
              <a:prstDash val="solid"/>
            </a:ln>
          </c:spPr>
          <c:marker>
            <c:symbol val="none"/>
          </c:marker>
          <c:xVal>
            <c:numRef>
              <c:f>seasonalising_calcs!$L$18:$L$26</c:f>
              <c:numCache>
                <c:formatCode>#,##0.00</c:formatCode>
                <c:ptCount val="9"/>
                <c:pt idx="0">
                  <c:v>2009.75</c:v>
                </c:pt>
                <c:pt idx="1">
                  <c:v>2010</c:v>
                </c:pt>
                <c:pt idx="2">
                  <c:v>2010.25</c:v>
                </c:pt>
                <c:pt idx="3">
                  <c:v>2010.5</c:v>
                </c:pt>
                <c:pt idx="4">
                  <c:v>2010.75</c:v>
                </c:pt>
                <c:pt idx="5">
                  <c:v>2011</c:v>
                </c:pt>
                <c:pt idx="6">
                  <c:v>2011.25</c:v>
                </c:pt>
                <c:pt idx="7">
                  <c:v>2011.5</c:v>
                </c:pt>
                <c:pt idx="8">
                  <c:v>2011.75</c:v>
                </c:pt>
              </c:numCache>
            </c:numRef>
          </c:xVal>
          <c:yVal>
            <c:numRef>
              <c:f>seasonalising_calcs!$M$18:$M$26</c:f>
              <c:numCache>
                <c:formatCode>General</c:formatCode>
                <c:ptCount val="9"/>
                <c:pt idx="0" formatCode="#,##0">
                  <c:v>1032.4420445856556</c:v>
                </c:pt>
                <c:pt idx="1">
                  <c:v>830.27480104640176</c:v>
                </c:pt>
                <c:pt idx="2">
                  <c:v>941.79821622040163</c:v>
                </c:pt>
                <c:pt idx="3">
                  <c:v>958.91276760639494</c:v>
                </c:pt>
                <c:pt idx="4">
                  <c:v>1063.7568968751523</c:v>
                </c:pt>
                <c:pt idx="5">
                  <c:v>881.52598349285768</c:v>
                </c:pt>
                <c:pt idx="6">
                  <c:v>999.933513288825</c:v>
                </c:pt>
                <c:pt idx="7">
                  <c:v>1018.10451128077</c:v>
                </c:pt>
                <c:pt idx="8">
                  <c:v>1129.4204563758308</c:v>
                </c:pt>
              </c:numCache>
            </c:numRef>
          </c:yVal>
          <c:smooth val="0"/>
          <c:extLst>
            <c:ext xmlns:c16="http://schemas.microsoft.com/office/drawing/2014/chart" uri="{C3380CC4-5D6E-409C-BE32-E72D297353CC}">
              <c16:uniqueId val="{00000002-0D85-43B3-9AB4-391693DFA328}"/>
            </c:ext>
          </c:extLst>
        </c:ser>
        <c:dLbls>
          <c:showLegendKey val="0"/>
          <c:showVal val="0"/>
          <c:showCatName val="0"/>
          <c:showSerName val="0"/>
          <c:showPercent val="0"/>
          <c:showBubbleSize val="0"/>
        </c:dLbls>
        <c:axId val="405046984"/>
        <c:axId val="1"/>
      </c:scatterChart>
      <c:valAx>
        <c:axId val="405046984"/>
        <c:scaling>
          <c:orientation val="minMax"/>
          <c:max val="2012.5"/>
          <c:min val="2006"/>
        </c:scaling>
        <c:delete val="0"/>
        <c:axPos val="b"/>
        <c:majorGridlines>
          <c:spPr>
            <a:ln w="3175">
              <a:solidFill>
                <a:srgbClr val="969696"/>
              </a:solidFill>
              <a:prstDash val="sysDash"/>
            </a:ln>
          </c:spPr>
        </c:majorGridlines>
        <c:minorGridlines>
          <c:spPr>
            <a:ln w="3175">
              <a:solidFill>
                <a:srgbClr val="CCCCFF"/>
              </a:solidFill>
              <a:prstDash val="sysDash"/>
            </a:ln>
          </c:spPr>
        </c:min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1"/>
        <c:crosses val="autoZero"/>
        <c:crossBetween val="midCat"/>
        <c:minorUnit val="0.25"/>
      </c:valAx>
      <c:valAx>
        <c:axId val="1"/>
        <c:scaling>
          <c:orientation val="minMax"/>
        </c:scaling>
        <c:delete val="0"/>
        <c:axPos val="l"/>
        <c:majorGridlines>
          <c:spPr>
            <a:ln w="3175">
              <a:solidFill>
                <a:srgbClr val="CCCCFF"/>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405046984"/>
        <c:crosses val="autoZero"/>
        <c:crossBetween val="midCat"/>
      </c:valAx>
      <c:spPr>
        <a:noFill/>
        <a:ln w="12700">
          <a:solidFill>
            <a:srgbClr val="808080"/>
          </a:solidFill>
          <a:prstDash val="solid"/>
        </a:ln>
      </c:spPr>
    </c:plotArea>
    <c:legend>
      <c:legendPos val="r"/>
      <c:layout>
        <c:manualLayout>
          <c:xMode val="edge"/>
          <c:yMode val="edge"/>
          <c:x val="0.10674865812282781"/>
          <c:y val="0.90404077561124574"/>
          <c:w val="0.83681131999733993"/>
          <c:h val="8.5858621147436753E-2"/>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a:ea typeface="Arial"/>
              <a:cs typeface="Arial"/>
            </a:defRPr>
          </a:pPr>
          <a:endParaRPr lang="en-US"/>
        </a:p>
      </c:txPr>
    </c:legend>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Sensitising_Value_calcs!$B$6</c:f>
          <c:strCache>
            <c:ptCount val="1"/>
            <c:pt idx="0">
              <c:v>Top 5 sensitivities of equity value.</c:v>
            </c:pt>
          </c:strCache>
        </c:strRef>
      </c:tx>
      <c:layout>
        <c:manualLayout>
          <c:xMode val="edge"/>
          <c:yMode val="edge"/>
          <c:x val="0.40613034417847976"/>
          <c:y val="2.2613106940538152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4.8275871100460797E-2"/>
          <c:y val="0.18341742296214281"/>
          <c:w val="0.90498101221657468"/>
          <c:h val="0.63316699433506829"/>
        </c:manualLayout>
      </c:layout>
      <c:barChart>
        <c:barDir val="bar"/>
        <c:grouping val="stacked"/>
        <c:varyColors val="0"/>
        <c:ser>
          <c:idx val="0"/>
          <c:order val="0"/>
          <c:spPr>
            <a:gradFill rotWithShape="0">
              <a:gsLst>
                <a:gs pos="0">
                  <a:srgbClr xmlns:mc="http://schemas.openxmlformats.org/markup-compatibility/2006" xmlns:a14="http://schemas.microsoft.com/office/drawing/2010/main" val="FF99CC" mc:Ignorable="a14" a14:legacySpreadsheetColorIndex="45"/>
                </a:gs>
                <a:gs pos="5000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FF99CC" mc:Ignorable="a14" a14:legacySpreadsheetColorIndex="45"/>
                </a:gs>
              </a:gsLst>
              <a:lin ang="5400000" scaled="1"/>
            </a:gradFill>
            <a:ln w="3175">
              <a:solidFill>
                <a:srgbClr val="C0C0C0"/>
              </a:solidFill>
              <a:prstDash val="solid"/>
            </a:ln>
          </c:spPr>
          <c:invertIfNegative val="0"/>
          <c:cat>
            <c:strRef>
              <c:f>[0]!cv_chart_names</c:f>
              <c:strCache>
                <c:ptCount val="5"/>
                <c:pt idx="0">
                  <c:v>COGS / sales</c:v>
                </c:pt>
                <c:pt idx="1">
                  <c:v>Discount rate</c:v>
                </c:pt>
                <c:pt idx="2">
                  <c:v>Fixed assets / sales</c:v>
                </c:pt>
                <c:pt idx="3">
                  <c:v>Tax rate</c:v>
                </c:pt>
                <c:pt idx="4">
                  <c:v>TVM</c:v>
                </c:pt>
              </c:strCache>
            </c:strRef>
          </c:cat>
          <c:val>
            <c:numRef>
              <c:f>[0]!cv_chart_series_1</c:f>
              <c:numCache>
                <c:formatCode>0.00%</c:formatCode>
                <c:ptCount val="5"/>
                <c:pt idx="0">
                  <c:v>2.493565643583856E-2</c:v>
                </c:pt>
                <c:pt idx="1">
                  <c:v>1.3712937558236968E-2</c:v>
                </c:pt>
                <c:pt idx="2">
                  <c:v>1.1613710981323312E-2</c:v>
                </c:pt>
                <c:pt idx="3">
                  <c:v>8.01434580036876E-3</c:v>
                </c:pt>
                <c:pt idx="4">
                  <c:v>-5.6694596825947003E-3</c:v>
                </c:pt>
              </c:numCache>
            </c:numRef>
          </c:val>
          <c:extLst>
            <c:ext xmlns:c16="http://schemas.microsoft.com/office/drawing/2014/chart" uri="{C3380CC4-5D6E-409C-BE32-E72D297353CC}">
              <c16:uniqueId val="{00000000-6B22-417D-921B-22C2B2F2897D}"/>
            </c:ext>
          </c:extLst>
        </c:ser>
        <c:ser>
          <c:idx val="1"/>
          <c:order val="1"/>
          <c:spPr>
            <a:gradFill rotWithShape="0">
              <a:gsLst>
                <a:gs pos="0">
                  <a:srgbClr xmlns:mc="http://schemas.openxmlformats.org/markup-compatibility/2006" xmlns:a14="http://schemas.microsoft.com/office/drawing/2010/main" val="99CCFF" mc:Ignorable="a14" a14:legacySpreadsheetColorIndex="44"/>
                </a:gs>
                <a:gs pos="5000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99CCFF" mc:Ignorable="a14" a14:legacySpreadsheetColorIndex="44"/>
                </a:gs>
              </a:gsLst>
              <a:lin ang="5400000" scaled="1"/>
            </a:gradFill>
            <a:ln w="12700">
              <a:solidFill>
                <a:srgbClr val="C0C0C0"/>
              </a:solidFill>
              <a:prstDash val="solid"/>
            </a:ln>
          </c:spPr>
          <c:invertIfNegative val="0"/>
          <c:cat>
            <c:strRef>
              <c:f>[0]!cv_chart_names</c:f>
              <c:strCache>
                <c:ptCount val="5"/>
                <c:pt idx="0">
                  <c:v>COGS / sales</c:v>
                </c:pt>
                <c:pt idx="1">
                  <c:v>Discount rate</c:v>
                </c:pt>
                <c:pt idx="2">
                  <c:v>Fixed assets / sales</c:v>
                </c:pt>
                <c:pt idx="3">
                  <c:v>Tax rate</c:v>
                </c:pt>
                <c:pt idx="4">
                  <c:v>TVM</c:v>
                </c:pt>
              </c:strCache>
            </c:strRef>
          </c:cat>
          <c:val>
            <c:numRef>
              <c:f>[0]!cv_chart_series_2</c:f>
              <c:numCache>
                <c:formatCode>0.00%</c:formatCode>
                <c:ptCount val="5"/>
                <c:pt idx="0">
                  <c:v>-2.4935656435838702E-2</c:v>
                </c:pt>
                <c:pt idx="1">
                  <c:v>-1.3510342641514907E-2</c:v>
                </c:pt>
                <c:pt idx="2">
                  <c:v>-1.1613710981324462E-2</c:v>
                </c:pt>
                <c:pt idx="3">
                  <c:v>-8.0143458003686177E-3</c:v>
                </c:pt>
                <c:pt idx="4">
                  <c:v>5.6694596825948443E-3</c:v>
                </c:pt>
              </c:numCache>
            </c:numRef>
          </c:val>
          <c:extLst>
            <c:ext xmlns:c16="http://schemas.microsoft.com/office/drawing/2014/chart" uri="{C3380CC4-5D6E-409C-BE32-E72D297353CC}">
              <c16:uniqueId val="{00000001-6B22-417D-921B-22C2B2F2897D}"/>
            </c:ext>
          </c:extLst>
        </c:ser>
        <c:dLbls>
          <c:showLegendKey val="0"/>
          <c:showVal val="0"/>
          <c:showCatName val="0"/>
          <c:showSerName val="0"/>
          <c:showPercent val="0"/>
          <c:showBubbleSize val="0"/>
        </c:dLbls>
        <c:gapWidth val="150"/>
        <c:overlap val="100"/>
        <c:axId val="405050592"/>
        <c:axId val="1"/>
      </c:barChart>
      <c:catAx>
        <c:axId val="40505059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CCCCFF"/>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405050592"/>
        <c:crosses val="autoZero"/>
        <c:crossBetween val="between"/>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Value of option portfolio as function of asset price</a:t>
            </a:r>
          </a:p>
        </c:rich>
      </c:tx>
      <c:layout>
        <c:manualLayout>
          <c:xMode val="edge"/>
          <c:yMode val="edge"/>
          <c:x val="0.29066985645933013"/>
          <c:y val="1.6000046875137331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8.4928229665071769E-2"/>
          <c:y val="0.11000032226656914"/>
          <c:w val="0.88516746411483249"/>
          <c:h val="0.60000175781764986"/>
        </c:manualLayout>
      </c:layout>
      <c:scatterChart>
        <c:scatterStyle val="lineMarker"/>
        <c:varyColors val="0"/>
        <c:ser>
          <c:idx val="0"/>
          <c:order val="0"/>
          <c:tx>
            <c:strRef>
              <c:f>Valuing_Option_calcs!$A$7</c:f>
              <c:strCache>
                <c:ptCount val="1"/>
                <c:pt idx="0">
                  <c:v>Option 1 = Call (european)</c:v>
                </c:pt>
              </c:strCache>
            </c:strRef>
          </c:tx>
          <c:spPr>
            <a:ln w="25400">
              <a:solidFill>
                <a:srgbClr val="000080"/>
              </a:solidFill>
              <a:prstDash val="solid"/>
            </a:ln>
          </c:spPr>
          <c:marker>
            <c:symbol val="none"/>
          </c:marker>
          <c:xVal>
            <c:numRef>
              <c:f>Valuing_Option_calcs!$L$11:$L$43</c:f>
              <c:numCache>
                <c:formatCode>General</c:formatCode>
                <c:ptCount val="33"/>
                <c:pt idx="0">
                  <c:v>60</c:v>
                </c:pt>
                <c:pt idx="1">
                  <c:v>62.5</c:v>
                </c:pt>
                <c:pt idx="2">
                  <c:v>65</c:v>
                </c:pt>
                <c:pt idx="3">
                  <c:v>67.5</c:v>
                </c:pt>
                <c:pt idx="4">
                  <c:v>70</c:v>
                </c:pt>
                <c:pt idx="5">
                  <c:v>72.5</c:v>
                </c:pt>
                <c:pt idx="6">
                  <c:v>75</c:v>
                </c:pt>
                <c:pt idx="7">
                  <c:v>77.499999999999986</c:v>
                </c:pt>
                <c:pt idx="8">
                  <c:v>80</c:v>
                </c:pt>
                <c:pt idx="9">
                  <c:v>82.5</c:v>
                </c:pt>
                <c:pt idx="10">
                  <c:v>85</c:v>
                </c:pt>
                <c:pt idx="11">
                  <c:v>87.5</c:v>
                </c:pt>
                <c:pt idx="12">
                  <c:v>89.999999999999986</c:v>
                </c:pt>
                <c:pt idx="13">
                  <c:v>92.5</c:v>
                </c:pt>
                <c:pt idx="14">
                  <c:v>95</c:v>
                </c:pt>
                <c:pt idx="15">
                  <c:v>97.499999999999986</c:v>
                </c:pt>
                <c:pt idx="16">
                  <c:v>100</c:v>
                </c:pt>
                <c:pt idx="17">
                  <c:v>102.49999999999999</c:v>
                </c:pt>
                <c:pt idx="18">
                  <c:v>104.99999999999999</c:v>
                </c:pt>
                <c:pt idx="19">
                  <c:v>107.5</c:v>
                </c:pt>
                <c:pt idx="20">
                  <c:v>109.99999999999999</c:v>
                </c:pt>
                <c:pt idx="21">
                  <c:v>112.5</c:v>
                </c:pt>
                <c:pt idx="22">
                  <c:v>114.99999999999999</c:v>
                </c:pt>
                <c:pt idx="23">
                  <c:v>117.49999999999999</c:v>
                </c:pt>
                <c:pt idx="24">
                  <c:v>120</c:v>
                </c:pt>
                <c:pt idx="25">
                  <c:v>122.50000000000001</c:v>
                </c:pt>
                <c:pt idx="26">
                  <c:v>125</c:v>
                </c:pt>
                <c:pt idx="27">
                  <c:v>127.49999999999999</c:v>
                </c:pt>
                <c:pt idx="28">
                  <c:v>129.99999999999997</c:v>
                </c:pt>
                <c:pt idx="29">
                  <c:v>132.5</c:v>
                </c:pt>
                <c:pt idx="30">
                  <c:v>135</c:v>
                </c:pt>
                <c:pt idx="31">
                  <c:v>137.5</c:v>
                </c:pt>
                <c:pt idx="32">
                  <c:v>140</c:v>
                </c:pt>
              </c:numCache>
            </c:numRef>
          </c:xVal>
          <c:yVal>
            <c:numRef>
              <c:f>Valuing_Option_calcs!$K$11:$K$43</c:f>
              <c:numCache>
                <c:formatCode>General</c:formatCode>
                <c:ptCount val="33"/>
                <c:pt idx="0">
                  <c:v>3.29285303073998E-16</c:v>
                </c:pt>
                <c:pt idx="1">
                  <c:v>5.648442227044121E-14</c:v>
                </c:pt>
                <c:pt idx="2">
                  <c:v>5.4154762511939869E-12</c:v>
                </c:pt>
                <c:pt idx="3">
                  <c:v>3.0810584056779845E-10</c:v>
                </c:pt>
                <c:pt idx="4">
                  <c:v>1.096322382010289E-8</c:v>
                </c:pt>
                <c:pt idx="5">
                  <c:v>2.5556621732971636E-7</c:v>
                </c:pt>
                <c:pt idx="6">
                  <c:v>4.067302743194568E-6</c:v>
                </c:pt>
                <c:pt idx="7">
                  <c:v>4.5853891012417273E-5</c:v>
                </c:pt>
                <c:pt idx="8">
                  <c:v>3.7858492695857365E-4</c:v>
                </c:pt>
                <c:pt idx="9">
                  <c:v>2.3594055765069899E-3</c:v>
                </c:pt>
                <c:pt idx="10">
                  <c:v>1.1411444330052589E-2</c:v>
                </c:pt>
                <c:pt idx="11">
                  <c:v>4.394760489777072E-2</c:v>
                </c:pt>
                <c:pt idx="12">
                  <c:v>0.1380475490351154</c:v>
                </c:pt>
                <c:pt idx="13">
                  <c:v>0.36182045563396592</c:v>
                </c:pt>
                <c:pt idx="14">
                  <c:v>0.80861413769199686</c:v>
                </c:pt>
                <c:pt idx="15">
                  <c:v>1.573234538551965</c:v>
                </c:pt>
                <c:pt idx="16">
                  <c:v>2.7182288358928233</c:v>
                </c:pt>
                <c:pt idx="17">
                  <c:v>4.2502492997936798</c:v>
                </c:pt>
                <c:pt idx="18">
                  <c:v>6.1208585805268569</c:v>
                </c:pt>
                <c:pt idx="19">
                  <c:v>8.2488061791001286</c:v>
                </c:pt>
                <c:pt idx="20">
                  <c:v>10.548297592762793</c:v>
                </c:pt>
                <c:pt idx="21">
                  <c:v>12.948970230603479</c:v>
                </c:pt>
                <c:pt idx="22">
                  <c:v>15.402878318813904</c:v>
                </c:pt>
                <c:pt idx="23">
                  <c:v>17.881959294974038</c:v>
                </c:pt>
                <c:pt idx="24">
                  <c:v>20.371812563751774</c:v>
                </c:pt>
                <c:pt idx="25">
                  <c:v>22.865864547053448</c:v>
                </c:pt>
                <c:pt idx="26">
                  <c:v>25.361416025800267</c:v>
                </c:pt>
                <c:pt idx="27">
                  <c:v>27.857460901708109</c:v>
                </c:pt>
                <c:pt idx="28">
                  <c:v>30.353656127488989</c:v>
                </c:pt>
                <c:pt idx="29">
                  <c:v>32.849893985771828</c:v>
                </c:pt>
                <c:pt idx="30">
                  <c:v>35.346143143137951</c:v>
                </c:pt>
                <c:pt idx="31">
                  <c:v>37.842395111187514</c:v>
                </c:pt>
                <c:pt idx="32">
                  <c:v>40.338647737997761</c:v>
                </c:pt>
              </c:numCache>
            </c:numRef>
          </c:yVal>
          <c:smooth val="0"/>
          <c:extLst>
            <c:ext xmlns:c16="http://schemas.microsoft.com/office/drawing/2014/chart" uri="{C3380CC4-5D6E-409C-BE32-E72D297353CC}">
              <c16:uniqueId val="{00000000-555A-4045-9C35-43D3C755C14E}"/>
            </c:ext>
          </c:extLst>
        </c:ser>
        <c:ser>
          <c:idx val="1"/>
          <c:order val="1"/>
          <c:tx>
            <c:strRef>
              <c:f>Valuing_Option_calcs!$A$8</c:f>
              <c:strCache>
                <c:ptCount val="1"/>
                <c:pt idx="0">
                  <c:v>Option 2 = Call (european)</c:v>
                </c:pt>
              </c:strCache>
            </c:strRef>
          </c:tx>
          <c:spPr>
            <a:ln w="25400">
              <a:solidFill>
                <a:srgbClr val="FF00FF"/>
              </a:solidFill>
              <a:prstDash val="solid"/>
            </a:ln>
          </c:spPr>
          <c:marker>
            <c:symbol val="none"/>
          </c:marker>
          <c:xVal>
            <c:numRef>
              <c:f>Valuing_Option_calcs!$N$11:$N$43</c:f>
              <c:numCache>
                <c:formatCode>General</c:formatCode>
                <c:ptCount val="33"/>
                <c:pt idx="0">
                  <c:v>60</c:v>
                </c:pt>
                <c:pt idx="1">
                  <c:v>62.5</c:v>
                </c:pt>
                <c:pt idx="2">
                  <c:v>65</c:v>
                </c:pt>
                <c:pt idx="3">
                  <c:v>67.5</c:v>
                </c:pt>
                <c:pt idx="4">
                  <c:v>70</c:v>
                </c:pt>
                <c:pt idx="5">
                  <c:v>72.5</c:v>
                </c:pt>
                <c:pt idx="6">
                  <c:v>75</c:v>
                </c:pt>
                <c:pt idx="7">
                  <c:v>77.499999999999986</c:v>
                </c:pt>
                <c:pt idx="8">
                  <c:v>80</c:v>
                </c:pt>
                <c:pt idx="9">
                  <c:v>82.5</c:v>
                </c:pt>
                <c:pt idx="10">
                  <c:v>85</c:v>
                </c:pt>
                <c:pt idx="11">
                  <c:v>87.5</c:v>
                </c:pt>
                <c:pt idx="12">
                  <c:v>89.999999999999986</c:v>
                </c:pt>
                <c:pt idx="13">
                  <c:v>92.5</c:v>
                </c:pt>
                <c:pt idx="14">
                  <c:v>95</c:v>
                </c:pt>
                <c:pt idx="15">
                  <c:v>97.499999999999986</c:v>
                </c:pt>
                <c:pt idx="16">
                  <c:v>100</c:v>
                </c:pt>
                <c:pt idx="17">
                  <c:v>102.49999999999999</c:v>
                </c:pt>
                <c:pt idx="18">
                  <c:v>104.99999999999999</c:v>
                </c:pt>
                <c:pt idx="19">
                  <c:v>107.5</c:v>
                </c:pt>
                <c:pt idx="20">
                  <c:v>109.99999999999999</c:v>
                </c:pt>
                <c:pt idx="21">
                  <c:v>112.5</c:v>
                </c:pt>
                <c:pt idx="22">
                  <c:v>114.99999999999999</c:v>
                </c:pt>
                <c:pt idx="23">
                  <c:v>117.49999999999999</c:v>
                </c:pt>
                <c:pt idx="24">
                  <c:v>120</c:v>
                </c:pt>
                <c:pt idx="25">
                  <c:v>122.50000000000001</c:v>
                </c:pt>
                <c:pt idx="26">
                  <c:v>125</c:v>
                </c:pt>
                <c:pt idx="27">
                  <c:v>127.49999999999999</c:v>
                </c:pt>
                <c:pt idx="28">
                  <c:v>129.99999999999997</c:v>
                </c:pt>
                <c:pt idx="29">
                  <c:v>132.5</c:v>
                </c:pt>
                <c:pt idx="30">
                  <c:v>135</c:v>
                </c:pt>
                <c:pt idx="31">
                  <c:v>137.5</c:v>
                </c:pt>
                <c:pt idx="32">
                  <c:v>140</c:v>
                </c:pt>
              </c:numCache>
            </c:numRef>
          </c:xVal>
          <c:yVal>
            <c:numRef>
              <c:f>Valuing_Option_calcs!$M$11:$M$43</c:f>
              <c:numCache>
                <c:formatCode>General</c:formatCode>
                <c:ptCount val="33"/>
                <c:pt idx="0">
                  <c:v>-2.8929636202264782E-9</c:v>
                </c:pt>
                <c:pt idx="1">
                  <c:v>-5.4033745245765153E-7</c:v>
                </c:pt>
                <c:pt idx="2">
                  <c:v>-3.937184299496882E-5</c:v>
                </c:pt>
                <c:pt idx="3">
                  <c:v>-1.2534317740366119E-3</c:v>
                </c:pt>
                <c:pt idx="4">
                  <c:v>-1.9342966418264718E-2</c:v>
                </c:pt>
                <c:pt idx="5">
                  <c:v>-0.159612764193243</c:v>
                </c:pt>
                <c:pt idx="6">
                  <c:v>-0.77510947780109873</c:v>
                </c:pt>
                <c:pt idx="7">
                  <c:v>-2.4389045302377781</c:v>
                </c:pt>
                <c:pt idx="8">
                  <c:v>-5.4771161522673282</c:v>
                </c:pt>
                <c:pt idx="9">
                  <c:v>-9.6314901120453555</c:v>
                </c:pt>
                <c:pt idx="10">
                  <c:v>-14.368448218827268</c:v>
                </c:pt>
                <c:pt idx="11">
                  <c:v>-19.307513130776414</c:v>
                </c:pt>
                <c:pt idx="12">
                  <c:v>-24.294634695226108</c:v>
                </c:pt>
                <c:pt idx="13">
                  <c:v>-29.289813756408847</c:v>
                </c:pt>
                <c:pt idx="14">
                  <c:v>-34.285970779365385</c:v>
                </c:pt>
                <c:pt idx="15">
                  <c:v>-39.282215841341412</c:v>
                </c:pt>
                <c:pt idx="16">
                  <c:v>-44.27846691549766</c:v>
                </c:pt>
                <c:pt idx="17">
                  <c:v>-49.27471830765694</c:v>
                </c:pt>
                <c:pt idx="18">
                  <c:v>-54.270969713097116</c:v>
                </c:pt>
                <c:pt idx="19">
                  <c:v>-59.267221118983144</c:v>
                </c:pt>
                <c:pt idx="20">
                  <c:v>-64.263472524881365</c:v>
                </c:pt>
                <c:pt idx="21">
                  <c:v>-69.25972393077987</c:v>
                </c:pt>
                <c:pt idx="22">
                  <c:v>-74.255975336678347</c:v>
                </c:pt>
                <c:pt idx="23">
                  <c:v>-79.252226742576852</c:v>
                </c:pt>
                <c:pt idx="24">
                  <c:v>-84.248478148475385</c:v>
                </c:pt>
                <c:pt idx="25">
                  <c:v>-89.244729554373919</c:v>
                </c:pt>
                <c:pt idx="26">
                  <c:v>-94.240980960272367</c:v>
                </c:pt>
                <c:pt idx="27">
                  <c:v>-99.237232366170844</c:v>
                </c:pt>
                <c:pt idx="28">
                  <c:v>-104.23348377206935</c:v>
                </c:pt>
                <c:pt idx="29">
                  <c:v>-109.22973517796788</c:v>
                </c:pt>
                <c:pt idx="30">
                  <c:v>-114.22598658386642</c:v>
                </c:pt>
                <c:pt idx="31">
                  <c:v>-119.22223798976489</c:v>
                </c:pt>
                <c:pt idx="32">
                  <c:v>-124.21848939566343</c:v>
                </c:pt>
              </c:numCache>
            </c:numRef>
          </c:yVal>
          <c:smooth val="0"/>
          <c:extLst>
            <c:ext xmlns:c16="http://schemas.microsoft.com/office/drawing/2014/chart" uri="{C3380CC4-5D6E-409C-BE32-E72D297353CC}">
              <c16:uniqueId val="{00000001-555A-4045-9C35-43D3C755C14E}"/>
            </c:ext>
          </c:extLst>
        </c:ser>
        <c:ser>
          <c:idx val="2"/>
          <c:order val="2"/>
          <c:tx>
            <c:strRef>
              <c:f>Valuing_Option_calcs!$A$9</c:f>
              <c:strCache>
                <c:ptCount val="1"/>
                <c:pt idx="0">
                  <c:v>Option 3 = Call (asset-or-nothing)</c:v>
                </c:pt>
              </c:strCache>
            </c:strRef>
          </c:tx>
          <c:spPr>
            <a:ln w="25400">
              <a:solidFill>
                <a:srgbClr val="339966"/>
              </a:solidFill>
              <a:prstDash val="solid"/>
            </a:ln>
          </c:spPr>
          <c:marker>
            <c:symbol val="none"/>
          </c:marker>
          <c:xVal>
            <c:numRef>
              <c:f>Valuing_Option_calcs!$P$11:$P$43</c:f>
              <c:numCache>
                <c:formatCode>General</c:formatCode>
                <c:ptCount val="33"/>
                <c:pt idx="0">
                  <c:v>60</c:v>
                </c:pt>
                <c:pt idx="1">
                  <c:v>62.5</c:v>
                </c:pt>
                <c:pt idx="2">
                  <c:v>65</c:v>
                </c:pt>
                <c:pt idx="3">
                  <c:v>67.5</c:v>
                </c:pt>
                <c:pt idx="4">
                  <c:v>70</c:v>
                </c:pt>
                <c:pt idx="5">
                  <c:v>72.5</c:v>
                </c:pt>
                <c:pt idx="6">
                  <c:v>75</c:v>
                </c:pt>
                <c:pt idx="7">
                  <c:v>77.499999999999986</c:v>
                </c:pt>
                <c:pt idx="8">
                  <c:v>80</c:v>
                </c:pt>
                <c:pt idx="9">
                  <c:v>82.5</c:v>
                </c:pt>
                <c:pt idx="10">
                  <c:v>85</c:v>
                </c:pt>
                <c:pt idx="11">
                  <c:v>87.5</c:v>
                </c:pt>
                <c:pt idx="12">
                  <c:v>89.999999999999986</c:v>
                </c:pt>
                <c:pt idx="13">
                  <c:v>92.5</c:v>
                </c:pt>
                <c:pt idx="14">
                  <c:v>95</c:v>
                </c:pt>
                <c:pt idx="15">
                  <c:v>97.499999999999986</c:v>
                </c:pt>
                <c:pt idx="16">
                  <c:v>100</c:v>
                </c:pt>
                <c:pt idx="17">
                  <c:v>102.49999999999999</c:v>
                </c:pt>
                <c:pt idx="18">
                  <c:v>104.99999999999999</c:v>
                </c:pt>
                <c:pt idx="19">
                  <c:v>107.5</c:v>
                </c:pt>
                <c:pt idx="20">
                  <c:v>109.99999999999999</c:v>
                </c:pt>
                <c:pt idx="21">
                  <c:v>112.5</c:v>
                </c:pt>
                <c:pt idx="22">
                  <c:v>114.99999999999999</c:v>
                </c:pt>
                <c:pt idx="23">
                  <c:v>117.49999999999999</c:v>
                </c:pt>
                <c:pt idx="24">
                  <c:v>120</c:v>
                </c:pt>
                <c:pt idx="25">
                  <c:v>122.50000000000001</c:v>
                </c:pt>
                <c:pt idx="26">
                  <c:v>125</c:v>
                </c:pt>
                <c:pt idx="27">
                  <c:v>127.49999999999999</c:v>
                </c:pt>
                <c:pt idx="28">
                  <c:v>129.99999999999997</c:v>
                </c:pt>
                <c:pt idx="29">
                  <c:v>132.5</c:v>
                </c:pt>
                <c:pt idx="30">
                  <c:v>135</c:v>
                </c:pt>
                <c:pt idx="31">
                  <c:v>137.5</c:v>
                </c:pt>
                <c:pt idx="32">
                  <c:v>140</c:v>
                </c:pt>
              </c:numCache>
            </c:numRef>
          </c:xVal>
          <c:yVal>
            <c:numRef>
              <c:f>Valuing_Option_calcs!$O$11:$O$43</c:f>
              <c:numCache>
                <c:formatCode>General</c:formatCode>
                <c:ptCount val="33"/>
                <c:pt idx="0">
                  <c:v>1.8785691512884515E-4</c:v>
                </c:pt>
                <c:pt idx="1">
                  <c:v>3.3740958230976644E-3</c:v>
                </c:pt>
                <c:pt idx="2">
                  <c:v>3.7260714700657505E-2</c:v>
                </c:pt>
                <c:pt idx="3">
                  <c:v>0.26748909040343799</c:v>
                </c:pt>
                <c:pt idx="4">
                  <c:v>1.3124064693083346</c:v>
                </c:pt>
                <c:pt idx="5">
                  <c:v>4.6075691306617292</c:v>
                </c:pt>
                <c:pt idx="6">
                  <c:v>12.085014077457204</c:v>
                </c:pt>
                <c:pt idx="7">
                  <c:v>24.689002349691698</c:v>
                </c:pt>
                <c:pt idx="8">
                  <c:v>40.947617310125246</c:v>
                </c:pt>
                <c:pt idx="9">
                  <c:v>57.484565516913264</c:v>
                </c:pt>
                <c:pt idx="10">
                  <c:v>71.204497846150389</c:v>
                </c:pt>
                <c:pt idx="11">
                  <c:v>80.926577121707837</c:v>
                </c:pt>
                <c:pt idx="12">
                  <c:v>87.24852180221896</c:v>
                </c:pt>
                <c:pt idx="13">
                  <c:v>91.439717854093885</c:v>
                </c:pt>
                <c:pt idx="14">
                  <c:v>94.573928835779782</c:v>
                </c:pt>
                <c:pt idx="15">
                  <c:v>97.276936482649887</c:v>
                </c:pt>
                <c:pt idx="16">
                  <c:v>99.831585656905446</c:v>
                </c:pt>
                <c:pt idx="17">
                  <c:v>102.34237029484848</c:v>
                </c:pt>
                <c:pt idx="18">
                  <c:v>104.84184091912945</c:v>
                </c:pt>
                <c:pt idx="19">
                  <c:v>107.33873350367541</c:v>
                </c:pt>
                <c:pt idx="20">
                  <c:v>109.83510147290086</c:v>
                </c:pt>
                <c:pt idx="21">
                  <c:v>112.33137319176066</c:v>
                </c:pt>
                <c:pt idx="22">
                  <c:v>114.82762885429608</c:v>
                </c:pt>
                <c:pt idx="23">
                  <c:v>117.32388206287747</c:v>
                </c:pt>
                <c:pt idx="24">
                  <c:v>119.82013492548872</c:v>
                </c:pt>
                <c:pt idx="25">
                  <c:v>122.31638774282438</c:v>
                </c:pt>
                <c:pt idx="26">
                  <c:v>124.81264055462898</c:v>
                </c:pt>
                <c:pt idx="27">
                  <c:v>127.30889336579952</c:v>
                </c:pt>
                <c:pt idx="28">
                  <c:v>129.80514617690156</c:v>
                </c:pt>
                <c:pt idx="29">
                  <c:v>132.30139898799661</c:v>
                </c:pt>
                <c:pt idx="30">
                  <c:v>134.79765179909097</c:v>
                </c:pt>
                <c:pt idx="31">
                  <c:v>137.29390461018525</c:v>
                </c:pt>
                <c:pt idx="32">
                  <c:v>139.79015742127953</c:v>
                </c:pt>
              </c:numCache>
            </c:numRef>
          </c:yVal>
          <c:smooth val="0"/>
          <c:extLst>
            <c:ext xmlns:c16="http://schemas.microsoft.com/office/drawing/2014/chart" uri="{C3380CC4-5D6E-409C-BE32-E72D297353CC}">
              <c16:uniqueId val="{00000002-555A-4045-9C35-43D3C755C14E}"/>
            </c:ext>
          </c:extLst>
        </c:ser>
        <c:ser>
          <c:idx val="3"/>
          <c:order val="3"/>
          <c:tx>
            <c:strRef>
              <c:f>Valuing_Option_calcs!$A$10</c:f>
              <c:strCache>
                <c:ptCount val="1"/>
                <c:pt idx="0">
                  <c:v>&lt;not shown&gt;</c:v>
                </c:pt>
              </c:strCache>
            </c:strRef>
          </c:tx>
          <c:spPr>
            <a:ln w="25400">
              <a:solidFill>
                <a:srgbClr val="FF6600"/>
              </a:solidFill>
              <a:prstDash val="solid"/>
            </a:ln>
          </c:spPr>
          <c:marker>
            <c:symbol val="none"/>
          </c:marker>
          <c:xVal>
            <c:numRef>
              <c:f>Valuing_Option_calcs!$R$11:$R$43</c:f>
              <c:numCache>
                <c:formatCode>General</c:formatCode>
                <c:ptCount val="33"/>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numCache>
            </c:numRef>
          </c:xVal>
          <c:yVal>
            <c:numRef>
              <c:f>Valuing_Option_calcs!$Q$11:$Q$43</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yVal>
          <c:smooth val="0"/>
          <c:extLst>
            <c:ext xmlns:c16="http://schemas.microsoft.com/office/drawing/2014/chart" uri="{C3380CC4-5D6E-409C-BE32-E72D297353CC}">
              <c16:uniqueId val="{00000003-555A-4045-9C35-43D3C755C14E}"/>
            </c:ext>
          </c:extLst>
        </c:ser>
        <c:dLbls>
          <c:showLegendKey val="0"/>
          <c:showVal val="0"/>
          <c:showCatName val="0"/>
          <c:showSerName val="0"/>
          <c:showPercent val="0"/>
          <c:showBubbleSize val="0"/>
        </c:dLbls>
        <c:axId val="405026976"/>
        <c:axId val="1"/>
      </c:scatterChart>
      <c:valAx>
        <c:axId val="405026976"/>
        <c:scaling>
          <c:orientation val="minMax"/>
          <c:max val="140"/>
          <c:min val="6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CCCCFF"/>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5026976"/>
        <c:crosses val="autoZero"/>
        <c:crossBetween val="midCat"/>
      </c:valAx>
      <c:spPr>
        <a:noFill/>
        <a:ln w="25400">
          <a:noFill/>
        </a:ln>
      </c:spPr>
    </c:plotArea>
    <c:legend>
      <c:legendPos val="b"/>
      <c:layout>
        <c:manualLayout>
          <c:xMode val="edge"/>
          <c:yMode val="edge"/>
          <c:x val="9.2105263157894732E-2"/>
          <c:y val="0.81000237305382727"/>
          <c:w val="0.80382775119617222"/>
          <c:h val="0.1780005214859027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fn_OFFSET!$J$20</c:f>
          <c:strCache>
            <c:ptCount val="1"/>
            <c:pt idx="0">
              <c:v>Series B</c:v>
            </c:pt>
          </c:strCache>
        </c:strRef>
      </c:tx>
      <c:layout>
        <c:manualLayout>
          <c:xMode val="edge"/>
          <c:yMode val="edge"/>
          <c:x val="0.42347819777987378"/>
          <c:y val="4.5801612076596936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9.8068635275339183E-2"/>
          <c:y val="0.19084005031915388"/>
          <c:w val="0.86924472175868828"/>
          <c:h val="0.64503937007874013"/>
        </c:manualLayout>
      </c:layout>
      <c:barChart>
        <c:barDir val="col"/>
        <c:grouping val="cluster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12700">
              <a:solidFill>
                <a:srgbClr val="000000"/>
              </a:solidFill>
              <a:prstDash val="solid"/>
            </a:ln>
          </c:spPr>
          <c:invertIfNegative val="0"/>
          <c:val>
            <c:numRef>
              <c:f>fn_OFFSET!$J$22:$M$22</c:f>
              <c:numCache>
                <c:formatCode>General</c:formatCode>
                <c:ptCount val="4"/>
                <c:pt idx="0">
                  <c:v>15</c:v>
                </c:pt>
                <c:pt idx="1">
                  <c:v>82</c:v>
                </c:pt>
                <c:pt idx="2">
                  <c:v>13</c:v>
                </c:pt>
                <c:pt idx="3">
                  <c:v>25</c:v>
                </c:pt>
              </c:numCache>
            </c:numRef>
          </c:val>
          <c:extLst>
            <c:ext xmlns:c16="http://schemas.microsoft.com/office/drawing/2014/chart" uri="{C3380CC4-5D6E-409C-BE32-E72D297353CC}">
              <c16:uniqueId val="{00000000-CAF3-4835-9DEA-4D5D22EE4FB5}"/>
            </c:ext>
          </c:extLst>
        </c:ser>
        <c:dLbls>
          <c:showLegendKey val="0"/>
          <c:showVal val="0"/>
          <c:showCatName val="0"/>
          <c:showSerName val="0"/>
          <c:showPercent val="0"/>
          <c:showBubbleSize val="0"/>
        </c:dLbls>
        <c:gapWidth val="150"/>
        <c:axId val="401305776"/>
        <c:axId val="1"/>
      </c:barChart>
      <c:catAx>
        <c:axId val="40130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1305776"/>
        <c:crosses val="autoZero"/>
        <c:crossBetween val="between"/>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FFFFFF" mc:Ignorable="a14" a14:legacySpreadsheetColorIndex="65"/>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6350">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Profit share as function of revenue</a:t>
            </a:r>
          </a:p>
        </c:rich>
      </c:tx>
      <c:layout>
        <c:manualLayout>
          <c:xMode val="edge"/>
          <c:yMode val="edge"/>
          <c:x val="0.37744084679308154"/>
          <c:y val="2.1739143254608746E-2"/>
        </c:manualLayout>
      </c:layout>
      <c:overlay val="0"/>
      <c:spPr>
        <a:solidFill>
          <a:srgbClr val="FFFFFF"/>
        </a:solidFill>
        <a:ln w="3175">
          <a:solidFill>
            <a:srgbClr val="000000"/>
          </a:solidFill>
          <a:prstDash val="solid"/>
        </a:ln>
      </c:spPr>
    </c:title>
    <c:autoTitleDeleted val="0"/>
    <c:plotArea>
      <c:layout>
        <c:manualLayout>
          <c:layoutTarget val="inner"/>
          <c:xMode val="edge"/>
          <c:yMode val="edge"/>
          <c:x val="0.10737541331182492"/>
          <c:y val="5.7971048678956659E-2"/>
          <c:w val="0.85141110555335919"/>
          <c:h val="0.72222264812533499"/>
        </c:manualLayout>
      </c:layout>
      <c:scatterChart>
        <c:scatterStyle val="lineMarker"/>
        <c:varyColors val="0"/>
        <c:ser>
          <c:idx val="0"/>
          <c:order val="0"/>
          <c:spPr>
            <a:ln w="38100">
              <a:solidFill>
                <a:srgbClr val="333399"/>
              </a:solidFill>
              <a:prstDash val="solid"/>
            </a:ln>
          </c:spPr>
          <c:marker>
            <c:symbol val="square"/>
            <c:size val="7"/>
            <c:spPr>
              <a:solidFill>
                <a:srgbClr val="FF6600"/>
              </a:solidFill>
              <a:ln>
                <a:solidFill>
                  <a:srgbClr val="000000"/>
                </a:solidFill>
                <a:prstDash val="solid"/>
              </a:ln>
            </c:spPr>
          </c:marker>
          <c:xVal>
            <c:numRef>
              <c:f>Ex_2_calcs!$C$2:$F$2</c:f>
              <c:numCache>
                <c:formatCode>General</c:formatCode>
                <c:ptCount val="4"/>
                <c:pt idx="0">
                  <c:v>100</c:v>
                </c:pt>
                <c:pt idx="1">
                  <c:v>200</c:v>
                </c:pt>
                <c:pt idx="2">
                  <c:v>400</c:v>
                </c:pt>
                <c:pt idx="3">
                  <c:v>500</c:v>
                </c:pt>
              </c:numCache>
            </c:numRef>
          </c:xVal>
          <c:yVal>
            <c:numRef>
              <c:f>Ex_2_calcs!$C$3:$F$3</c:f>
              <c:numCache>
                <c:formatCode>0%</c:formatCode>
                <c:ptCount val="4"/>
                <c:pt idx="0">
                  <c:v>0.05</c:v>
                </c:pt>
                <c:pt idx="1">
                  <c:v>0.1</c:v>
                </c:pt>
                <c:pt idx="2">
                  <c:v>0.3</c:v>
                </c:pt>
                <c:pt idx="3">
                  <c:v>0.35</c:v>
                </c:pt>
              </c:numCache>
            </c:numRef>
          </c:yVal>
          <c:smooth val="0"/>
          <c:extLst>
            <c:ext xmlns:c16="http://schemas.microsoft.com/office/drawing/2014/chart" uri="{C3380CC4-5D6E-409C-BE32-E72D297353CC}">
              <c16:uniqueId val="{00000000-254F-4C6B-BEF3-D6EE3912041D}"/>
            </c:ext>
          </c:extLst>
        </c:ser>
        <c:ser>
          <c:idx val="1"/>
          <c:order val="1"/>
          <c:spPr>
            <a:ln w="25400">
              <a:solidFill>
                <a:srgbClr val="FF6600"/>
              </a:solidFill>
              <a:prstDash val="solid"/>
            </a:ln>
          </c:spPr>
          <c:marker>
            <c:symbol val="none"/>
          </c:marker>
          <c:xVal>
            <c:numRef>
              <c:f>Ex_2_calcs!$C$5:$D$5</c:f>
              <c:numCache>
                <c:formatCode>General</c:formatCode>
                <c:ptCount val="2"/>
                <c:pt idx="0">
                  <c:v>300</c:v>
                </c:pt>
                <c:pt idx="1">
                  <c:v>300</c:v>
                </c:pt>
              </c:numCache>
            </c:numRef>
          </c:xVal>
          <c:yVal>
            <c:numRef>
              <c:f>Ex_2_calcs!$C$6:$D$6</c:f>
              <c:numCache>
                <c:formatCode>0.000%</c:formatCode>
                <c:ptCount val="2"/>
                <c:pt idx="0" formatCode="General">
                  <c:v>0</c:v>
                </c:pt>
                <c:pt idx="1">
                  <c:v>0.19</c:v>
                </c:pt>
              </c:numCache>
            </c:numRef>
          </c:yVal>
          <c:smooth val="0"/>
          <c:extLst>
            <c:ext xmlns:c16="http://schemas.microsoft.com/office/drawing/2014/chart" uri="{C3380CC4-5D6E-409C-BE32-E72D297353CC}">
              <c16:uniqueId val="{00000001-254F-4C6B-BEF3-D6EE3912041D}"/>
            </c:ext>
          </c:extLst>
        </c:ser>
        <c:ser>
          <c:idx val="2"/>
          <c:order val="2"/>
          <c:spPr>
            <a:ln w="25400">
              <a:solidFill>
                <a:srgbClr val="FF6600"/>
              </a:solidFill>
              <a:prstDash val="solid"/>
            </a:ln>
          </c:spPr>
          <c:marker>
            <c:symbol val="none"/>
          </c:marker>
          <c:xVal>
            <c:numRef>
              <c:f>Ex_2_calcs!$F$5:$G$5</c:f>
              <c:numCache>
                <c:formatCode>General</c:formatCode>
                <c:ptCount val="2"/>
                <c:pt idx="0">
                  <c:v>0</c:v>
                </c:pt>
                <c:pt idx="1">
                  <c:v>290</c:v>
                </c:pt>
              </c:numCache>
            </c:numRef>
          </c:xVal>
          <c:yVal>
            <c:numRef>
              <c:f>Ex_2_calcs!$F$6:$G$6</c:f>
              <c:numCache>
                <c:formatCode>0.000%</c:formatCode>
                <c:ptCount val="2"/>
                <c:pt idx="0">
                  <c:v>0.2</c:v>
                </c:pt>
                <c:pt idx="1">
                  <c:v>0.2</c:v>
                </c:pt>
              </c:numCache>
            </c:numRef>
          </c:yVal>
          <c:smooth val="0"/>
          <c:extLst>
            <c:ext xmlns:c16="http://schemas.microsoft.com/office/drawing/2014/chart" uri="{C3380CC4-5D6E-409C-BE32-E72D297353CC}">
              <c16:uniqueId val="{00000002-254F-4C6B-BEF3-D6EE3912041D}"/>
            </c:ext>
          </c:extLst>
        </c:ser>
        <c:ser>
          <c:idx val="3"/>
          <c:order val="3"/>
          <c:spPr>
            <a:ln w="25400">
              <a:solidFill>
                <a:srgbClr val="000000"/>
              </a:solidFill>
              <a:prstDash val="sysDash"/>
            </a:ln>
          </c:spPr>
          <c:marker>
            <c:symbol val="none"/>
          </c:marker>
          <c:xVal>
            <c:numRef>
              <c:f>Ex_2_calcs!$K$5:$L$5</c:f>
              <c:numCache>
                <c:formatCode>General</c:formatCode>
                <c:ptCount val="2"/>
                <c:pt idx="0">
                  <c:v>400</c:v>
                </c:pt>
                <c:pt idx="1">
                  <c:v>0</c:v>
                </c:pt>
              </c:numCache>
            </c:numRef>
          </c:xVal>
          <c:yVal>
            <c:numRef>
              <c:f>Ex_2_calcs!$K$6:$L$6</c:f>
              <c:numCache>
                <c:formatCode>0%</c:formatCode>
                <c:ptCount val="2"/>
                <c:pt idx="0">
                  <c:v>0.3</c:v>
                </c:pt>
                <c:pt idx="1">
                  <c:v>0.3</c:v>
                </c:pt>
              </c:numCache>
            </c:numRef>
          </c:yVal>
          <c:smooth val="0"/>
          <c:extLst>
            <c:ext xmlns:c16="http://schemas.microsoft.com/office/drawing/2014/chart" uri="{C3380CC4-5D6E-409C-BE32-E72D297353CC}">
              <c16:uniqueId val="{00000003-254F-4C6B-BEF3-D6EE3912041D}"/>
            </c:ext>
          </c:extLst>
        </c:ser>
        <c:ser>
          <c:idx val="4"/>
          <c:order val="4"/>
          <c:spPr>
            <a:ln w="25400">
              <a:solidFill>
                <a:srgbClr val="000000"/>
              </a:solidFill>
              <a:prstDash val="sysDash"/>
            </a:ln>
          </c:spPr>
          <c:marker>
            <c:symbol val="none"/>
          </c:marker>
          <c:xVal>
            <c:numRef>
              <c:f>Ex_2_calcs!$N$5:$O$5</c:f>
              <c:numCache>
                <c:formatCode>General</c:formatCode>
                <c:ptCount val="2"/>
                <c:pt idx="0">
                  <c:v>200</c:v>
                </c:pt>
                <c:pt idx="1">
                  <c:v>0</c:v>
                </c:pt>
              </c:numCache>
            </c:numRef>
          </c:xVal>
          <c:yVal>
            <c:numRef>
              <c:f>Ex_2_calcs!$N$6:$O$6</c:f>
              <c:numCache>
                <c:formatCode>0%</c:formatCode>
                <c:ptCount val="2"/>
                <c:pt idx="0">
                  <c:v>0.1</c:v>
                </c:pt>
                <c:pt idx="1">
                  <c:v>0.1</c:v>
                </c:pt>
              </c:numCache>
            </c:numRef>
          </c:yVal>
          <c:smooth val="0"/>
          <c:extLst>
            <c:ext xmlns:c16="http://schemas.microsoft.com/office/drawing/2014/chart" uri="{C3380CC4-5D6E-409C-BE32-E72D297353CC}">
              <c16:uniqueId val="{00000004-254F-4C6B-BEF3-D6EE3912041D}"/>
            </c:ext>
          </c:extLst>
        </c:ser>
        <c:ser>
          <c:idx val="5"/>
          <c:order val="5"/>
          <c:spPr>
            <a:ln w="25400">
              <a:solidFill>
                <a:srgbClr val="000000"/>
              </a:solidFill>
              <a:prstDash val="sysDash"/>
            </a:ln>
          </c:spPr>
          <c:marker>
            <c:symbol val="none"/>
          </c:marker>
          <c:dLbls>
            <c:dLbl>
              <c:idx val="1"/>
              <c:layout>
                <c:manualLayout>
                  <c:x val="-5.4591541595502724E-2"/>
                  <c:y val="-4.4818648621993001E-2"/>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4F-4C6B-BEF3-D6EE391204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Ex_2_calcs!$K$8:$L$8</c:f>
              <c:numCache>
                <c:formatCode>General</c:formatCode>
                <c:ptCount val="2"/>
                <c:pt idx="0">
                  <c:v>400</c:v>
                </c:pt>
                <c:pt idx="1">
                  <c:v>400</c:v>
                </c:pt>
              </c:numCache>
            </c:numRef>
          </c:xVal>
          <c:yVal>
            <c:numRef>
              <c:f>Ex_2_calcs!$K$9:$L$9</c:f>
              <c:numCache>
                <c:formatCode>0%</c:formatCode>
                <c:ptCount val="2"/>
                <c:pt idx="0" formatCode="General">
                  <c:v>0</c:v>
                </c:pt>
                <c:pt idx="1">
                  <c:v>0.3</c:v>
                </c:pt>
              </c:numCache>
            </c:numRef>
          </c:yVal>
          <c:smooth val="0"/>
          <c:extLst>
            <c:ext xmlns:c16="http://schemas.microsoft.com/office/drawing/2014/chart" uri="{C3380CC4-5D6E-409C-BE32-E72D297353CC}">
              <c16:uniqueId val="{00000006-254F-4C6B-BEF3-D6EE3912041D}"/>
            </c:ext>
          </c:extLst>
        </c:ser>
        <c:ser>
          <c:idx val="6"/>
          <c:order val="6"/>
          <c:spPr>
            <a:ln w="25400">
              <a:solidFill>
                <a:srgbClr val="000000"/>
              </a:solidFill>
              <a:prstDash val="sysDash"/>
            </a:ln>
          </c:spPr>
          <c:marker>
            <c:symbol val="plus"/>
            <c:size val="7"/>
            <c:spPr>
              <a:noFill/>
              <a:ln>
                <a:solidFill>
                  <a:srgbClr val="00808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7-254F-4C6B-BEF3-D6EE3912041D}"/>
                </c:ext>
              </c:extLst>
            </c:dLbl>
            <c:dLbl>
              <c:idx val="1"/>
              <c:layout>
                <c:manualLayout>
                  <c:x val="-4.8445562371787154E-2"/>
                  <c:y val="-4.6026165851248191E-2"/>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4F-4C6B-BEF3-D6EE3912041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Ex_2_calcs!$N$8:$O$8</c:f>
              <c:numCache>
                <c:formatCode>General</c:formatCode>
                <c:ptCount val="2"/>
                <c:pt idx="0">
                  <c:v>200</c:v>
                </c:pt>
                <c:pt idx="1">
                  <c:v>200</c:v>
                </c:pt>
              </c:numCache>
            </c:numRef>
          </c:xVal>
          <c:yVal>
            <c:numRef>
              <c:f>Ex_2_calcs!$N$9:$O$9</c:f>
              <c:numCache>
                <c:formatCode>0%</c:formatCode>
                <c:ptCount val="2"/>
                <c:pt idx="0" formatCode="General">
                  <c:v>0</c:v>
                </c:pt>
                <c:pt idx="1">
                  <c:v>0.1</c:v>
                </c:pt>
              </c:numCache>
            </c:numRef>
          </c:yVal>
          <c:smooth val="0"/>
          <c:extLst>
            <c:ext xmlns:c16="http://schemas.microsoft.com/office/drawing/2014/chart" uri="{C3380CC4-5D6E-409C-BE32-E72D297353CC}">
              <c16:uniqueId val="{00000009-254F-4C6B-BEF3-D6EE3912041D}"/>
            </c:ext>
          </c:extLst>
        </c:ser>
        <c:dLbls>
          <c:showLegendKey val="0"/>
          <c:showVal val="0"/>
          <c:showCatName val="0"/>
          <c:showSerName val="0"/>
          <c:showPercent val="0"/>
          <c:showBubbleSize val="0"/>
        </c:dLbls>
        <c:axId val="401293312"/>
        <c:axId val="1"/>
      </c:scatterChart>
      <c:valAx>
        <c:axId val="401293312"/>
        <c:scaling>
          <c:orientation val="minMax"/>
        </c:scaling>
        <c:delete val="0"/>
        <c:axPos val="b"/>
        <c:majorGridlines>
          <c:spPr>
            <a:ln w="3175">
              <a:solidFill>
                <a:srgbClr val="CCCCFF"/>
              </a:solidFill>
              <a:prstDash val="sysDash"/>
            </a:ln>
          </c:spPr>
        </c:majorGridlines>
        <c:title>
          <c:tx>
            <c:rich>
              <a:bodyPr/>
              <a:lstStyle/>
              <a:p>
                <a:pPr>
                  <a:defRPr sz="800" b="0" i="0" u="none" strike="noStrike" baseline="0">
                    <a:solidFill>
                      <a:srgbClr val="000000"/>
                    </a:solidFill>
                    <a:latin typeface="Arial"/>
                    <a:ea typeface="Arial"/>
                    <a:cs typeface="Arial"/>
                  </a:defRPr>
                </a:pPr>
                <a:r>
                  <a:rPr lang="en-AU"/>
                  <a:t>Revenue ($,000's)</a:t>
                </a:r>
              </a:p>
            </c:rich>
          </c:tx>
          <c:layout>
            <c:manualLayout>
              <c:xMode val="edge"/>
              <c:yMode val="edge"/>
              <c:x val="0.46095505714672314"/>
              <c:y val="0.8671502698227266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CCCCFF"/>
              </a:solidFill>
              <a:prstDash val="sysDash"/>
            </a:ln>
          </c:spPr>
        </c:majorGridlines>
        <c:title>
          <c:tx>
            <c:rich>
              <a:bodyPr/>
              <a:lstStyle/>
              <a:p>
                <a:pPr>
                  <a:defRPr sz="800" b="0" i="0" u="none" strike="noStrike" baseline="0">
                    <a:solidFill>
                      <a:srgbClr val="000000"/>
                    </a:solidFill>
                    <a:latin typeface="Arial"/>
                    <a:ea typeface="Arial"/>
                    <a:cs typeface="Arial"/>
                  </a:defRPr>
                </a:pPr>
                <a:r>
                  <a:rPr lang="en-AU"/>
                  <a:t>Profit share (%)</a:t>
                </a:r>
              </a:p>
            </c:rich>
          </c:tx>
          <c:layout>
            <c:manualLayout>
              <c:xMode val="edge"/>
              <c:yMode val="edge"/>
              <c:x val="2.7115003361571952E-2"/>
              <c:y val="0.2801934019482905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1293312"/>
        <c:crosses val="autoZero"/>
        <c:crossBetween val="midCat"/>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Closing prices</a:t>
            </a:r>
          </a:p>
        </c:rich>
      </c:tx>
      <c:layout>
        <c:manualLayout>
          <c:xMode val="edge"/>
          <c:yMode val="edge"/>
          <c:x val="0.45925361766945927"/>
          <c:y val="3.8461606178177191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5.5597867479055596E-2"/>
          <c:y val="0.18750033011861381"/>
          <c:w val="0.92916984006092918"/>
          <c:h val="0.57692409267265787"/>
        </c:manualLayout>
      </c:layout>
      <c:lineChart>
        <c:grouping val="standard"/>
        <c:varyColors val="0"/>
        <c:ser>
          <c:idx val="0"/>
          <c:order val="0"/>
          <c:spPr>
            <a:ln w="38100">
              <a:solidFill>
                <a:srgbClr val="333333"/>
              </a:solidFill>
              <a:prstDash val="solid"/>
            </a:ln>
          </c:spPr>
          <c:marker>
            <c:symbol val="none"/>
          </c:marker>
          <c:cat>
            <c:strRef>
              <c:f>[0]!chart_dates</c:f>
              <c:strCache>
                <c:ptCount val="38"/>
                <c:pt idx="0">
                  <c:v>17/09/09</c:v>
                </c:pt>
                <c:pt idx="1">
                  <c:v>18/09/09</c:v>
                </c:pt>
                <c:pt idx="2">
                  <c:v>21/09/09</c:v>
                </c:pt>
                <c:pt idx="3">
                  <c:v>22/09/09</c:v>
                </c:pt>
                <c:pt idx="4">
                  <c:v>23/09/09</c:v>
                </c:pt>
                <c:pt idx="5">
                  <c:v>24/09/09</c:v>
                </c:pt>
                <c:pt idx="6">
                  <c:v>25/09/09</c:v>
                </c:pt>
                <c:pt idx="7">
                  <c:v>28/09/09</c:v>
                </c:pt>
                <c:pt idx="8">
                  <c:v>29/09/09</c:v>
                </c:pt>
                <c:pt idx="9">
                  <c:v>30/09/09</c:v>
                </c:pt>
                <c:pt idx="10">
                  <c:v>1/10/09</c:v>
                </c:pt>
                <c:pt idx="11">
                  <c:v>2/10/09</c:v>
                </c:pt>
                <c:pt idx="12">
                  <c:v>5/10/09</c:v>
                </c:pt>
                <c:pt idx="13">
                  <c:v>6/10/09</c:v>
                </c:pt>
                <c:pt idx="14">
                  <c:v>7/10/09</c:v>
                </c:pt>
                <c:pt idx="15">
                  <c:v>8/10/09</c:v>
                </c:pt>
                <c:pt idx="16">
                  <c:v>9/10/09</c:v>
                </c:pt>
                <c:pt idx="17">
                  <c:v>12/10/09</c:v>
                </c:pt>
                <c:pt idx="18">
                  <c:v>13/10/09</c:v>
                </c:pt>
                <c:pt idx="19">
                  <c:v>14/10/09</c:v>
                </c:pt>
                <c:pt idx="20">
                  <c:v>15/10/09</c:v>
                </c:pt>
                <c:pt idx="21">
                  <c:v>16/10/09</c:v>
                </c:pt>
                <c:pt idx="22">
                  <c:v>19/10/09</c:v>
                </c:pt>
                <c:pt idx="23">
                  <c:v>20/10/09</c:v>
                </c:pt>
                <c:pt idx="24">
                  <c:v>21/10/09</c:v>
                </c:pt>
                <c:pt idx="25">
                  <c:v>22/10/09</c:v>
                </c:pt>
                <c:pt idx="26">
                  <c:v>23/10/09</c:v>
                </c:pt>
                <c:pt idx="27">
                  <c:v>26/10/09</c:v>
                </c:pt>
                <c:pt idx="28">
                  <c:v>27/10/09</c:v>
                </c:pt>
                <c:pt idx="29">
                  <c:v>28/10/09</c:v>
                </c:pt>
                <c:pt idx="30">
                  <c:v>29/10/09</c:v>
                </c:pt>
                <c:pt idx="31">
                  <c:v>30/10/09</c:v>
                </c:pt>
                <c:pt idx="32">
                  <c:v>2/11/09</c:v>
                </c:pt>
                <c:pt idx="33">
                  <c:v>3/11/09</c:v>
                </c:pt>
                <c:pt idx="34">
                  <c:v>4/11/09</c:v>
                </c:pt>
                <c:pt idx="35">
                  <c:v>5/11/09</c:v>
                </c:pt>
                <c:pt idx="36">
                  <c:v>6/11/09</c:v>
                </c:pt>
                <c:pt idx="37">
                  <c:v>9/11/09</c:v>
                </c:pt>
              </c:strCache>
            </c:strRef>
          </c:cat>
          <c:val>
            <c:numRef>
              <c:f>[0]!chart_values</c:f>
              <c:numCache>
                <c:formatCode>General</c:formatCode>
                <c:ptCount val="38"/>
                <c:pt idx="0">
                  <c:v>4714.8999999999996</c:v>
                </c:pt>
                <c:pt idx="1">
                  <c:v>4693.2</c:v>
                </c:pt>
                <c:pt idx="2">
                  <c:v>4677.3999999999996</c:v>
                </c:pt>
                <c:pt idx="3">
                  <c:v>4663.7</c:v>
                </c:pt>
                <c:pt idx="4">
                  <c:v>4734.1000000000004</c:v>
                </c:pt>
                <c:pt idx="5">
                  <c:v>4701.2</c:v>
                </c:pt>
                <c:pt idx="6">
                  <c:v>4713.3</c:v>
                </c:pt>
                <c:pt idx="7">
                  <c:v>4677.3999999999996</c:v>
                </c:pt>
                <c:pt idx="8">
                  <c:v>4753.1000000000004</c:v>
                </c:pt>
                <c:pt idx="9">
                  <c:v>4743.6000000000004</c:v>
                </c:pt>
                <c:pt idx="10">
                  <c:v>4701.1000000000004</c:v>
                </c:pt>
                <c:pt idx="11">
                  <c:v>4601.7</c:v>
                </c:pt>
                <c:pt idx="12">
                  <c:v>4573.3</c:v>
                </c:pt>
                <c:pt idx="13">
                  <c:v>4591.6000000000004</c:v>
                </c:pt>
                <c:pt idx="14">
                  <c:v>4695.7</c:v>
                </c:pt>
                <c:pt idx="15">
                  <c:v>4768.6000000000004</c:v>
                </c:pt>
                <c:pt idx="16">
                  <c:v>4752.8999999999996</c:v>
                </c:pt>
                <c:pt idx="17">
                  <c:v>4739.8</c:v>
                </c:pt>
                <c:pt idx="18">
                  <c:v>4785.7</c:v>
                </c:pt>
                <c:pt idx="19">
                  <c:v>4831.1000000000004</c:v>
                </c:pt>
                <c:pt idx="20">
                  <c:v>4859.8999999999996</c:v>
                </c:pt>
                <c:pt idx="21">
                  <c:v>4836.3999999999996</c:v>
                </c:pt>
                <c:pt idx="22">
                  <c:v>4792.8</c:v>
                </c:pt>
                <c:pt idx="23">
                  <c:v>4846.2</c:v>
                </c:pt>
                <c:pt idx="24">
                  <c:v>4838.6000000000004</c:v>
                </c:pt>
                <c:pt idx="25">
                  <c:v>4812.8</c:v>
                </c:pt>
                <c:pt idx="26">
                  <c:v>4859.3999999999996</c:v>
                </c:pt>
                <c:pt idx="27">
                  <c:v>4830.3</c:v>
                </c:pt>
                <c:pt idx="28">
                  <c:v>4753.5</c:v>
                </c:pt>
                <c:pt idx="29">
                  <c:v>4685.1000000000004</c:v>
                </c:pt>
                <c:pt idx="30">
                  <c:v>4574.7</c:v>
                </c:pt>
                <c:pt idx="31">
                  <c:v>4643.2</c:v>
                </c:pt>
                <c:pt idx="32">
                  <c:v>4540.3999999999996</c:v>
                </c:pt>
                <c:pt idx="33">
                  <c:v>4531.5</c:v>
                </c:pt>
                <c:pt idx="34">
                  <c:v>4540.1000000000004</c:v>
                </c:pt>
                <c:pt idx="35">
                  <c:v>4508</c:v>
                </c:pt>
                <c:pt idx="36">
                  <c:v>4594</c:v>
                </c:pt>
                <c:pt idx="37">
                  <c:v>4674.8999999999996</c:v>
                </c:pt>
              </c:numCache>
            </c:numRef>
          </c:val>
          <c:smooth val="0"/>
          <c:extLst>
            <c:ext xmlns:c16="http://schemas.microsoft.com/office/drawing/2014/chart" uri="{C3380CC4-5D6E-409C-BE32-E72D297353CC}">
              <c16:uniqueId val="{00000000-A19A-4B94-83CE-E2C805460A4C}"/>
            </c:ext>
          </c:extLst>
        </c:ser>
        <c:dLbls>
          <c:showLegendKey val="0"/>
          <c:showVal val="0"/>
          <c:showCatName val="0"/>
          <c:showSerName val="0"/>
          <c:showPercent val="0"/>
          <c:showBubbleSize val="0"/>
        </c:dLbls>
        <c:smooth val="0"/>
        <c:axId val="401294624"/>
        <c:axId val="1"/>
      </c:lineChart>
      <c:catAx>
        <c:axId val="401294624"/>
        <c:scaling>
          <c:orientation val="minMax"/>
        </c:scaling>
        <c:delete val="0"/>
        <c:axPos val="b"/>
        <c:numFmt formatCode="d/mm/yy"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1294624"/>
        <c:crosses val="autoZero"/>
        <c:crossBetween val="between"/>
      </c:valAx>
      <c:spPr>
        <a:noFill/>
        <a:ln w="12700">
          <a:solidFill>
            <a:srgbClr val="808080"/>
          </a:solidFill>
          <a:prstDash val="solid"/>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Charting!$J$43</c:f>
          <c:strCache>
            <c:ptCount val="1"/>
            <c:pt idx="0">
              <c:v>Series G</c:v>
            </c:pt>
          </c:strCache>
        </c:strRef>
      </c:tx>
      <c:layout>
        <c:manualLayout>
          <c:xMode val="edge"/>
          <c:yMode val="edge"/>
          <c:x val="0.45801583623548353"/>
          <c:y val="2.9520348392002262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8.3969569976505315E-2"/>
          <c:y val="0.19188226454801471"/>
          <c:w val="0.88804181581213204"/>
          <c:h val="0.63468749042804862"/>
        </c:manualLayout>
      </c:layout>
      <c:barChart>
        <c:barDir val="col"/>
        <c:grouping val="cluster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12700">
              <a:solidFill>
                <a:srgbClr val="000000"/>
              </a:solidFill>
              <a:prstDash val="solid"/>
            </a:ln>
          </c:spPr>
          <c:invertIfNegative val="0"/>
          <c:val>
            <c:numRef>
              <c:f>Charting!$K$40:$N$40</c:f>
              <c:numCache>
                <c:formatCode>General</c:formatCode>
                <c:ptCount val="4"/>
                <c:pt idx="0">
                  <c:v>85</c:v>
                </c:pt>
                <c:pt idx="1">
                  <c:v>95</c:v>
                </c:pt>
                <c:pt idx="2">
                  <c:v>49</c:v>
                </c:pt>
                <c:pt idx="3">
                  <c:v>51</c:v>
                </c:pt>
              </c:numCache>
            </c:numRef>
          </c:val>
          <c:extLst>
            <c:ext xmlns:c16="http://schemas.microsoft.com/office/drawing/2014/chart" uri="{C3380CC4-5D6E-409C-BE32-E72D297353CC}">
              <c16:uniqueId val="{00000000-DAFA-4C02-B496-15B4A4BFE5BC}"/>
            </c:ext>
          </c:extLst>
        </c:ser>
        <c:dLbls>
          <c:showLegendKey val="0"/>
          <c:showVal val="0"/>
          <c:showCatName val="0"/>
          <c:showSerName val="0"/>
          <c:showPercent val="0"/>
          <c:showBubbleSize val="0"/>
        </c:dLbls>
        <c:gapWidth val="150"/>
        <c:axId val="401297576"/>
        <c:axId val="1"/>
      </c:barChart>
      <c:catAx>
        <c:axId val="401297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401297576"/>
        <c:crosses val="autoZero"/>
        <c:crossBetween val="between"/>
      </c:valAx>
      <c:spPr>
        <a:noFill/>
        <a:ln w="12700">
          <a:solidFill>
            <a:srgbClr val="808080"/>
          </a:solidFill>
          <a:prstDash val="solid"/>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0" i="0" u="none" strike="noStrike" baseline="0">
                <a:solidFill>
                  <a:srgbClr val="000000"/>
                </a:solidFill>
                <a:latin typeface="Arial"/>
                <a:ea typeface="Arial"/>
                <a:cs typeface="Arial"/>
              </a:defRPr>
            </a:pPr>
            <a:r>
              <a:rPr lang="en-AU"/>
              <a:t>Interest rate curve</a:t>
            </a:r>
          </a:p>
        </c:rich>
      </c:tx>
      <c:layout>
        <c:manualLayout>
          <c:xMode val="edge"/>
          <c:yMode val="edge"/>
          <c:x val="0.40824824470087934"/>
          <c:y val="3.212873456829464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6.8041374116813214E-2"/>
          <c:y val="0.18072413194665735"/>
          <c:w val="0.89690902244890147"/>
          <c:h val="0.64659078318692964"/>
        </c:manualLayout>
      </c:layout>
      <c:scatterChart>
        <c:scatterStyle val="lineMarker"/>
        <c:varyColors val="0"/>
        <c:ser>
          <c:idx val="0"/>
          <c:order val="0"/>
          <c:tx>
            <c:v>Interpolated rates</c:v>
          </c:tx>
          <c:spPr>
            <a:ln w="38100">
              <a:solidFill>
                <a:srgbClr val="000080"/>
              </a:solidFill>
              <a:prstDash val="solid"/>
            </a:ln>
          </c:spPr>
          <c:marker>
            <c:symbol val="circle"/>
            <c:size val="4"/>
            <c:spPr>
              <a:solidFill>
                <a:srgbClr val="000080"/>
              </a:solidFill>
              <a:ln>
                <a:solidFill>
                  <a:srgbClr val="000080"/>
                </a:solidFill>
                <a:prstDash val="solid"/>
              </a:ln>
            </c:spPr>
          </c:marker>
          <c:xVal>
            <c:numRef>
              <c:f>RateSensitising!$H$69:$W$69</c:f>
              <c:numCache>
                <c:formatCode>"Year "\ General</c:formatCode>
                <c:ptCount val="16"/>
                <c:pt idx="0">
                  <c:v>1</c:v>
                </c:pt>
                <c:pt idx="1">
                  <c:v>1.25</c:v>
                </c:pt>
                <c:pt idx="2">
                  <c:v>1.5</c:v>
                </c:pt>
                <c:pt idx="3">
                  <c:v>1.75</c:v>
                </c:pt>
                <c:pt idx="4">
                  <c:v>2</c:v>
                </c:pt>
                <c:pt idx="5">
                  <c:v>2.25</c:v>
                </c:pt>
                <c:pt idx="6">
                  <c:v>2.5</c:v>
                </c:pt>
                <c:pt idx="7">
                  <c:v>2.75</c:v>
                </c:pt>
                <c:pt idx="8">
                  <c:v>3</c:v>
                </c:pt>
                <c:pt idx="9">
                  <c:v>3.25</c:v>
                </c:pt>
                <c:pt idx="10">
                  <c:v>3.5</c:v>
                </c:pt>
                <c:pt idx="11">
                  <c:v>3.75</c:v>
                </c:pt>
                <c:pt idx="12">
                  <c:v>4</c:v>
                </c:pt>
                <c:pt idx="13">
                  <c:v>4.25</c:v>
                </c:pt>
                <c:pt idx="14">
                  <c:v>4.5</c:v>
                </c:pt>
                <c:pt idx="15">
                  <c:v>4.75</c:v>
                </c:pt>
              </c:numCache>
            </c:numRef>
          </c:xVal>
          <c:yVal>
            <c:numRef>
              <c:f>RateSensitising_calcs!$G$19:$V$19</c:f>
              <c:numCache>
                <c:formatCode>0.0%</c:formatCode>
                <c:ptCount val="16"/>
                <c:pt idx="0">
                  <c:v>0.06</c:v>
                </c:pt>
                <c:pt idx="1">
                  <c:v>0.06</c:v>
                </c:pt>
                <c:pt idx="2">
                  <c:v>6.2E-2</c:v>
                </c:pt>
                <c:pt idx="3">
                  <c:v>6.4000000000000001E-2</c:v>
                </c:pt>
                <c:pt idx="4">
                  <c:v>6.5200000000000008E-2</c:v>
                </c:pt>
                <c:pt idx="5">
                  <c:v>6.6400000000000001E-2</c:v>
                </c:pt>
                <c:pt idx="6">
                  <c:v>6.7600000000000007E-2</c:v>
                </c:pt>
                <c:pt idx="7">
                  <c:v>6.88E-2</c:v>
                </c:pt>
                <c:pt idx="8">
                  <c:v>7.0000000000000007E-2</c:v>
                </c:pt>
                <c:pt idx="9">
                  <c:v>7.0800000000000002E-2</c:v>
                </c:pt>
                <c:pt idx="10">
                  <c:v>7.1600000000000011E-2</c:v>
                </c:pt>
                <c:pt idx="11">
                  <c:v>7.2400000000000006E-2</c:v>
                </c:pt>
                <c:pt idx="12">
                  <c:v>7.3200000000000015E-2</c:v>
                </c:pt>
                <c:pt idx="13">
                  <c:v>7.400000000000001E-2</c:v>
                </c:pt>
                <c:pt idx="14">
                  <c:v>7.400000000000001E-2</c:v>
                </c:pt>
                <c:pt idx="15">
                  <c:v>7.400000000000001E-2</c:v>
                </c:pt>
              </c:numCache>
            </c:numRef>
          </c:yVal>
          <c:smooth val="0"/>
          <c:extLst>
            <c:ext xmlns:c16="http://schemas.microsoft.com/office/drawing/2014/chart" uri="{C3380CC4-5D6E-409C-BE32-E72D297353CC}">
              <c16:uniqueId val="{00000000-DD99-4339-8567-49FDA61EAF02}"/>
            </c:ext>
          </c:extLst>
        </c:ser>
        <c:ser>
          <c:idx val="1"/>
          <c:order val="1"/>
          <c:tx>
            <c:strRef>
              <c:f>RateSensitising!$I$25</c:f>
              <c:strCache>
                <c:ptCount val="1"/>
                <c:pt idx="0">
                  <c:v>6.0%</c:v>
                </c:pt>
              </c:strCache>
            </c:strRef>
          </c:tx>
          <c:spPr>
            <a:ln w="12700">
              <a:solidFill>
                <a:srgbClr val="FF00FF"/>
              </a:solidFill>
              <a:prstDash val="solid"/>
            </a:ln>
          </c:spPr>
          <c:marker>
            <c:symbol val="square"/>
            <c:size val="8"/>
            <c:spPr>
              <a:solidFill>
                <a:srgbClr val="000000"/>
              </a:solidFill>
              <a:ln>
                <a:solidFill>
                  <a:srgbClr val="000000"/>
                </a:solidFill>
                <a:prstDash val="solid"/>
              </a:ln>
            </c:spPr>
          </c:marker>
          <c:dLbls>
            <c:dLbl>
              <c:idx val="0"/>
              <c:layout>
                <c:manualLayout>
                  <c:x val="-2.9206001038845131E-2"/>
                  <c:y val="0.11885648399604665"/>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99-4339-8567-49FDA61EAF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RateSensitising!$I$69</c:f>
              <c:numCache>
                <c:formatCode>"Year "\ General</c:formatCode>
                <c:ptCount val="1"/>
                <c:pt idx="0">
                  <c:v>1.25</c:v>
                </c:pt>
              </c:numCache>
            </c:numRef>
          </c:xVal>
          <c:yVal>
            <c:numRef>
              <c:f>RateSensitising!$I$25</c:f>
              <c:numCache>
                <c:formatCode>0.0%</c:formatCode>
                <c:ptCount val="1"/>
                <c:pt idx="0">
                  <c:v>0.06</c:v>
                </c:pt>
              </c:numCache>
            </c:numRef>
          </c:yVal>
          <c:smooth val="0"/>
          <c:extLst>
            <c:ext xmlns:c16="http://schemas.microsoft.com/office/drawing/2014/chart" uri="{C3380CC4-5D6E-409C-BE32-E72D297353CC}">
              <c16:uniqueId val="{00000002-DD99-4339-8567-49FDA61EAF02}"/>
            </c:ext>
          </c:extLst>
        </c:ser>
        <c:ser>
          <c:idx val="2"/>
          <c:order val="2"/>
          <c:spPr>
            <a:ln w="12700">
              <a:solidFill>
                <a:srgbClr val="FFFF00"/>
              </a:solidFill>
              <a:prstDash val="solid"/>
            </a:ln>
          </c:spPr>
          <c:marker>
            <c:symbol val="square"/>
            <c:size val="8"/>
            <c:spPr>
              <a:solidFill>
                <a:srgbClr val="000000"/>
              </a:solidFill>
              <a:ln>
                <a:solidFill>
                  <a:srgbClr val="000000"/>
                </a:solidFill>
                <a:prstDash val="solid"/>
              </a:ln>
            </c:spPr>
          </c:marker>
          <c:dLbls>
            <c:dLbl>
              <c:idx val="0"/>
              <c:layout>
                <c:manualLayout>
                  <c:x val="-2.9694278074647751E-2"/>
                  <c:y val="0.11789254436119734"/>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99-4339-8567-49FDA61EAF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RateSensitising!$K$69</c:f>
              <c:numCache>
                <c:formatCode>"Year "\ General</c:formatCode>
                <c:ptCount val="1"/>
                <c:pt idx="0">
                  <c:v>1.75</c:v>
                </c:pt>
              </c:numCache>
            </c:numRef>
          </c:xVal>
          <c:yVal>
            <c:numRef>
              <c:f>RateSensitising!$K$25</c:f>
              <c:numCache>
                <c:formatCode>0.0%</c:formatCode>
                <c:ptCount val="1"/>
                <c:pt idx="0">
                  <c:v>6.4000000000000001E-2</c:v>
                </c:pt>
              </c:numCache>
            </c:numRef>
          </c:yVal>
          <c:smooth val="0"/>
          <c:extLst>
            <c:ext xmlns:c16="http://schemas.microsoft.com/office/drawing/2014/chart" uri="{C3380CC4-5D6E-409C-BE32-E72D297353CC}">
              <c16:uniqueId val="{00000004-DD99-4339-8567-49FDA61EAF02}"/>
            </c:ext>
          </c:extLst>
        </c:ser>
        <c:ser>
          <c:idx val="3"/>
          <c:order val="3"/>
          <c:spPr>
            <a:ln w="12700">
              <a:solidFill>
                <a:srgbClr val="00FFFF"/>
              </a:solidFill>
              <a:prstDash val="solid"/>
            </a:ln>
          </c:spPr>
          <c:marker>
            <c:symbol val="square"/>
            <c:size val="8"/>
            <c:spPr>
              <a:solidFill>
                <a:srgbClr val="000000"/>
              </a:solidFill>
              <a:ln>
                <a:solidFill>
                  <a:srgbClr val="000000"/>
                </a:solidFill>
                <a:prstDash val="solid"/>
              </a:ln>
            </c:spPr>
          </c:marker>
          <c:dLbls>
            <c:dLbl>
              <c:idx val="0"/>
              <c:layout>
                <c:manualLayout>
                  <c:x val="-2.8853192017852858E-2"/>
                  <c:y val="0.13652741023963949"/>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99-4339-8567-49FDA61EAF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RateSensitising!$P$69</c:f>
              <c:numCache>
                <c:formatCode>"Year "\ General</c:formatCode>
                <c:ptCount val="1"/>
                <c:pt idx="0">
                  <c:v>3</c:v>
                </c:pt>
              </c:numCache>
            </c:numRef>
          </c:xVal>
          <c:yVal>
            <c:numRef>
              <c:f>RateSensitising!$P$25</c:f>
              <c:numCache>
                <c:formatCode>0.0%</c:formatCode>
                <c:ptCount val="1"/>
                <c:pt idx="0">
                  <c:v>7.0000000000000007E-2</c:v>
                </c:pt>
              </c:numCache>
            </c:numRef>
          </c:yVal>
          <c:smooth val="0"/>
          <c:extLst>
            <c:ext xmlns:c16="http://schemas.microsoft.com/office/drawing/2014/chart" uri="{C3380CC4-5D6E-409C-BE32-E72D297353CC}">
              <c16:uniqueId val="{00000006-DD99-4339-8567-49FDA61EAF02}"/>
            </c:ext>
          </c:extLst>
        </c:ser>
        <c:ser>
          <c:idx val="4"/>
          <c:order val="4"/>
          <c:spPr>
            <a:ln w="12700">
              <a:solidFill>
                <a:srgbClr val="800080"/>
              </a:solidFill>
              <a:prstDash val="solid"/>
            </a:ln>
          </c:spPr>
          <c:marker>
            <c:symbol val="square"/>
            <c:size val="8"/>
            <c:spPr>
              <a:solidFill>
                <a:srgbClr val="000000"/>
              </a:solidFill>
              <a:ln>
                <a:solidFill>
                  <a:srgbClr val="000000"/>
                </a:solidFill>
                <a:prstDash val="solid"/>
              </a:ln>
            </c:spPr>
          </c:marker>
          <c:dLbls>
            <c:dLbl>
              <c:idx val="0"/>
              <c:layout>
                <c:manualLayout>
                  <c:x val="-2.9043198222758915E-2"/>
                  <c:y val="0.12753128696271654"/>
                </c:manualLayout>
              </c:layout>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99-4339-8567-49FDA61EAF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RateSensitising!$U$69</c:f>
              <c:numCache>
                <c:formatCode>"Year "\ General</c:formatCode>
                <c:ptCount val="1"/>
                <c:pt idx="0">
                  <c:v>4.25</c:v>
                </c:pt>
              </c:numCache>
            </c:numRef>
          </c:xVal>
          <c:yVal>
            <c:numRef>
              <c:f>RateSensitising!$U$25</c:f>
              <c:numCache>
                <c:formatCode>0.0%</c:formatCode>
                <c:ptCount val="1"/>
                <c:pt idx="0">
                  <c:v>7.400000000000001E-2</c:v>
                </c:pt>
              </c:numCache>
            </c:numRef>
          </c:yVal>
          <c:smooth val="0"/>
          <c:extLst>
            <c:ext xmlns:c16="http://schemas.microsoft.com/office/drawing/2014/chart" uri="{C3380CC4-5D6E-409C-BE32-E72D297353CC}">
              <c16:uniqueId val="{00000008-DD99-4339-8567-49FDA61EAF02}"/>
            </c:ext>
          </c:extLst>
        </c:ser>
        <c:dLbls>
          <c:showLegendKey val="0"/>
          <c:showVal val="0"/>
          <c:showCatName val="0"/>
          <c:showSerName val="0"/>
          <c:showPercent val="0"/>
          <c:showBubbleSize val="0"/>
        </c:dLbls>
        <c:axId val="403915312"/>
        <c:axId val="1"/>
      </c:scatterChart>
      <c:valAx>
        <c:axId val="403915312"/>
        <c:scaling>
          <c:orientation val="minMax"/>
          <c:max val="4.7"/>
          <c:min val="0.9"/>
        </c:scaling>
        <c:delete val="0"/>
        <c:axPos val="b"/>
        <c:numFmt formatCode="&quot;Year &quot;\ 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majorUnit val="1"/>
      </c:valAx>
      <c:valAx>
        <c:axId val="1"/>
        <c:scaling>
          <c:orientation val="minMax"/>
          <c:max val="7.4999999999999997E-2"/>
          <c:min val="0.05"/>
        </c:scaling>
        <c:delete val="0"/>
        <c:axPos val="l"/>
        <c:majorGridlines>
          <c:spPr>
            <a:ln w="3175">
              <a:solidFill>
                <a:srgbClr val="CCCCFF"/>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15312"/>
        <c:crosses val="autoZero"/>
        <c:crossBetween val="midCat"/>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Interest rate sensitivity ($,000's per 1% increase in zero coupon rate)</a:t>
            </a:r>
          </a:p>
        </c:rich>
      </c:tx>
      <c:layout>
        <c:manualLayout>
          <c:xMode val="edge"/>
          <c:yMode val="edge"/>
          <c:x val="0.26777033178893117"/>
          <c:y val="4.5901639344262293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7.4975692900900726E-2"/>
          <c:y val="0.21639344262295082"/>
          <c:w val="0.86562845440130842"/>
          <c:h val="0.71147540983606561"/>
        </c:manualLayout>
      </c:layout>
      <c:barChart>
        <c:barDir val="col"/>
        <c:grouping val="cluster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12700">
              <a:solidFill>
                <a:srgbClr val="000000"/>
              </a:solidFill>
              <a:prstDash val="solid"/>
            </a:ln>
          </c:spPr>
          <c:invertIfNegative val="0"/>
          <c:cat>
            <c:multiLvlStrRef>
              <c:f>RateSensitising!$H$71:$W$71</c:f>
            </c:multiLvlStrRef>
          </c:cat>
          <c:val>
            <c:numRef>
              <c:f>RateSensitising_calcs!$G$6:$V$6</c:f>
              <c:numCache>
                <c:formatCode>0.00</c:formatCode>
                <c:ptCount val="16"/>
                <c:pt idx="0">
                  <c:v>0</c:v>
                </c:pt>
                <c:pt idx="1">
                  <c:v>0</c:v>
                </c:pt>
                <c:pt idx="2">
                  <c:v>-14.035785507777732</c:v>
                </c:pt>
                <c:pt idx="3">
                  <c:v>0</c:v>
                </c:pt>
                <c:pt idx="4">
                  <c:v>0</c:v>
                </c:pt>
                <c:pt idx="5">
                  <c:v>0</c:v>
                </c:pt>
                <c:pt idx="6">
                  <c:v>-30.309709563622889</c:v>
                </c:pt>
                <c:pt idx="7">
                  <c:v>0</c:v>
                </c:pt>
                <c:pt idx="8">
                  <c:v>0</c:v>
                </c:pt>
                <c:pt idx="9">
                  <c:v>0</c:v>
                </c:pt>
                <c:pt idx="10">
                  <c:v>-43.804867404134029</c:v>
                </c:pt>
                <c:pt idx="11">
                  <c:v>0</c:v>
                </c:pt>
                <c:pt idx="12">
                  <c:v>0</c:v>
                </c:pt>
                <c:pt idx="13">
                  <c:v>0</c:v>
                </c:pt>
                <c:pt idx="14">
                  <c:v>-54.851867947000699</c:v>
                </c:pt>
                <c:pt idx="15">
                  <c:v>0</c:v>
                </c:pt>
              </c:numCache>
            </c:numRef>
          </c:val>
          <c:extLst>
            <c:ext xmlns:c16="http://schemas.microsoft.com/office/drawing/2014/chart" uri="{C3380CC4-5D6E-409C-BE32-E72D297353CC}">
              <c16:uniqueId val="{00000000-716D-4FBA-9763-EDDC01DF2156}"/>
            </c:ext>
          </c:extLst>
        </c:ser>
        <c:dLbls>
          <c:showLegendKey val="0"/>
          <c:showVal val="0"/>
          <c:showCatName val="0"/>
          <c:showSerName val="0"/>
          <c:showPercent val="0"/>
          <c:showBubbleSize val="0"/>
        </c:dLbls>
        <c:gapWidth val="150"/>
        <c:axId val="405051248"/>
        <c:axId val="1"/>
      </c:barChart>
      <c:catAx>
        <c:axId val="405051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CCCFF"/>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405051248"/>
        <c:crosses val="autoZero"/>
        <c:crossBetween val="between"/>
      </c:valAx>
      <c:spPr>
        <a:noFill/>
        <a:ln w="12700">
          <a:solidFill>
            <a:srgbClr val="CCCCFF"/>
          </a:solidFill>
          <a:prstDash val="sysDash"/>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6350">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AU"/>
              <a:t>Net cash flow ($m)</a:t>
            </a:r>
          </a:p>
        </c:rich>
      </c:tx>
      <c:layout>
        <c:manualLayout>
          <c:xMode val="edge"/>
          <c:yMode val="edge"/>
          <c:x val="0.43081483369794726"/>
          <c:y val="2.8368892567363999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itle>
    <c:autoTitleDeleted val="0"/>
    <c:plotArea>
      <c:layout>
        <c:manualLayout>
          <c:layoutTarget val="inner"/>
          <c:xMode val="edge"/>
          <c:yMode val="edge"/>
          <c:x val="6.8694848197850364E-2"/>
          <c:y val="0.20567447111338899"/>
          <c:w val="0.87536863703546464"/>
          <c:h val="0.63120785962384895"/>
        </c:manualLayout>
      </c:layout>
      <c:barChart>
        <c:barDir val="col"/>
        <c:grouping val="clustered"/>
        <c:varyColors val="0"/>
        <c:ser>
          <c:idx val="0"/>
          <c:order val="0"/>
          <c:spPr>
            <a:gradFill rotWithShape="0">
              <a:gsLst>
                <a:gs pos="0">
                  <a:srgbClr xmlns:mc="http://schemas.openxmlformats.org/markup-compatibility/2006" xmlns:a14="http://schemas.microsoft.com/office/drawing/2010/main" val="808080" mc:Ignorable="a14" a14:legacySpreadsheetColorIndex="23"/>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808080" mc:Ignorable="a14" a14:legacySpreadsheetColorIndex="23"/>
                </a:gs>
              </a:gsLst>
              <a:lin ang="0" scaled="1"/>
            </a:gradFill>
            <a:ln w="12700">
              <a:solidFill>
                <a:srgbClr val="000000"/>
              </a:solidFill>
              <a:prstDash val="solid"/>
            </a:ln>
          </c:spPr>
          <c:invertIfNegative val="0"/>
          <c:cat>
            <c:multiLvlStrRef>
              <c:f>RateSensitising!$H$71:$W$71</c:f>
            </c:multiLvlStrRef>
          </c:cat>
          <c:val>
            <c:numRef>
              <c:f>RateSensitising_calcs!$G$2:$V$2</c:f>
              <c:numCache>
                <c:formatCode>#,##0\ ;\(#,##0\);\-\ </c:formatCode>
                <c:ptCount val="16"/>
                <c:pt idx="0">
                  <c:v>0</c:v>
                </c:pt>
                <c:pt idx="1">
                  <c:v>0</c:v>
                </c:pt>
                <c:pt idx="2">
                  <c:v>2</c:v>
                </c:pt>
                <c:pt idx="3">
                  <c:v>0</c:v>
                </c:pt>
                <c:pt idx="4">
                  <c:v>0</c:v>
                </c:pt>
                <c:pt idx="5">
                  <c:v>0</c:v>
                </c:pt>
                <c:pt idx="6">
                  <c:v>2</c:v>
                </c:pt>
                <c:pt idx="7">
                  <c:v>0</c:v>
                </c:pt>
                <c:pt idx="8">
                  <c:v>0</c:v>
                </c:pt>
                <c:pt idx="9">
                  <c:v>0</c:v>
                </c:pt>
                <c:pt idx="10">
                  <c:v>2</c:v>
                </c:pt>
                <c:pt idx="11">
                  <c:v>0</c:v>
                </c:pt>
                <c:pt idx="12">
                  <c:v>0</c:v>
                </c:pt>
                <c:pt idx="13">
                  <c:v>0</c:v>
                </c:pt>
                <c:pt idx="14">
                  <c:v>2</c:v>
                </c:pt>
                <c:pt idx="15">
                  <c:v>0</c:v>
                </c:pt>
              </c:numCache>
            </c:numRef>
          </c:val>
          <c:extLst>
            <c:ext xmlns:c16="http://schemas.microsoft.com/office/drawing/2014/chart" uri="{C3380CC4-5D6E-409C-BE32-E72D297353CC}">
              <c16:uniqueId val="{00000000-D57E-4F8F-B28E-35515BA26B71}"/>
            </c:ext>
          </c:extLst>
        </c:ser>
        <c:dLbls>
          <c:showLegendKey val="0"/>
          <c:showVal val="0"/>
          <c:showCatName val="0"/>
          <c:showSerName val="0"/>
          <c:showPercent val="0"/>
          <c:showBubbleSize val="0"/>
        </c:dLbls>
        <c:gapWidth val="150"/>
        <c:axId val="405049936"/>
        <c:axId val="1"/>
      </c:barChart>
      <c:catAx>
        <c:axId val="405049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CCCFF"/>
              </a:solidFill>
              <a:prstDash val="sysDash"/>
            </a:ln>
          </c:spPr>
        </c:majorGridlines>
        <c:numFmt formatCode="&quot;  &quot;\ 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5049936"/>
        <c:crosses val="autoZero"/>
        <c:crossBetween val="between"/>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5400000" scaled="1"/>
    </a:gradFill>
    <a:ln w="6350">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Interpolating!$C$39</c:f>
          <c:strCache>
            <c:ptCount val="1"/>
            <c:pt idx="0">
              <c:v>   When X is 3.50 Y is 2.00</c:v>
            </c:pt>
          </c:strCache>
        </c:strRef>
      </c:tx>
      <c:layout>
        <c:manualLayout>
          <c:xMode val="edge"/>
          <c:yMode val="edge"/>
          <c:x val="0.40854950094258852"/>
          <c:y val="3.4615384615384617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9.443358294293408E-2"/>
          <c:y val="0.15"/>
          <c:w val="0.85984262363829456"/>
          <c:h val="0.73461538461538467"/>
        </c:manualLayout>
      </c:layout>
      <c:scatterChart>
        <c:scatterStyle val="lineMarker"/>
        <c:varyColors val="0"/>
        <c:ser>
          <c:idx val="0"/>
          <c:order val="0"/>
          <c:tx>
            <c:v>Interpolation table</c:v>
          </c:tx>
          <c:spPr>
            <a:ln w="38100">
              <a:solidFill>
                <a:srgbClr val="FF6600"/>
              </a:solidFill>
              <a:prstDash val="solid"/>
            </a:ln>
          </c:spPr>
          <c:marker>
            <c:symbol val="square"/>
            <c:size val="4"/>
            <c:spPr>
              <a:solidFill>
                <a:srgbClr val="000000"/>
              </a:solidFill>
              <a:ln>
                <a:solidFill>
                  <a:srgbClr val="000000"/>
                </a:solidFill>
                <a:prstDash val="solid"/>
              </a:ln>
            </c:spPr>
          </c:marker>
          <c:xVal>
            <c:numRef>
              <c:f>Interpolating!$C$31:$C$35</c:f>
              <c:numCache>
                <c:formatCode>General</c:formatCode>
                <c:ptCount val="5"/>
                <c:pt idx="0">
                  <c:v>0</c:v>
                </c:pt>
                <c:pt idx="1">
                  <c:v>1</c:v>
                </c:pt>
                <c:pt idx="2">
                  <c:v>2</c:v>
                </c:pt>
                <c:pt idx="3">
                  <c:v>3</c:v>
                </c:pt>
                <c:pt idx="4">
                  <c:v>4</c:v>
                </c:pt>
              </c:numCache>
            </c:numRef>
          </c:xVal>
          <c:yVal>
            <c:numRef>
              <c:f>Interpolating!$E$31:$E$35</c:f>
              <c:numCache>
                <c:formatCode>General</c:formatCode>
                <c:ptCount val="5"/>
                <c:pt idx="0">
                  <c:v>-2</c:v>
                </c:pt>
                <c:pt idx="1">
                  <c:v>-3</c:v>
                </c:pt>
                <c:pt idx="2">
                  <c:v>2</c:v>
                </c:pt>
                <c:pt idx="3">
                  <c:v>1</c:v>
                </c:pt>
                <c:pt idx="4">
                  <c:v>3</c:v>
                </c:pt>
              </c:numCache>
            </c:numRef>
          </c:yVal>
          <c:smooth val="0"/>
          <c:extLst>
            <c:ext xmlns:c16="http://schemas.microsoft.com/office/drawing/2014/chart" uri="{C3380CC4-5D6E-409C-BE32-E72D297353CC}">
              <c16:uniqueId val="{00000000-F8EC-407F-97DF-684FDB6822BD}"/>
            </c:ext>
          </c:extLst>
        </c:ser>
        <c:ser>
          <c:idx val="1"/>
          <c:order val="1"/>
          <c:spPr>
            <a:ln w="38100">
              <a:solidFill>
                <a:srgbClr val="333333"/>
              </a:solidFill>
              <a:prstDash val="solid"/>
            </a:ln>
          </c:spPr>
          <c:marker>
            <c:symbol val="circle"/>
            <c:size val="8"/>
            <c:spPr>
              <a:solidFill>
                <a:srgbClr val="333333"/>
              </a:solidFill>
              <a:ln>
                <a:solidFill>
                  <a:srgbClr val="333333"/>
                </a:solidFill>
                <a:prstDash val="solid"/>
              </a:ln>
            </c:spPr>
          </c:marker>
          <c:xVal>
            <c:numRef>
              <c:f>Interpolating_calcs!$B$11:$C$11</c:f>
              <c:numCache>
                <c:formatCode>General</c:formatCode>
                <c:ptCount val="2"/>
                <c:pt idx="0">
                  <c:v>3.5</c:v>
                </c:pt>
                <c:pt idx="1">
                  <c:v>3.5</c:v>
                </c:pt>
              </c:numCache>
            </c:numRef>
          </c:xVal>
          <c:yVal>
            <c:numRef>
              <c:f>Interpolating_calcs!$B$10:$C$10</c:f>
              <c:numCache>
                <c:formatCode>General</c:formatCode>
                <c:ptCount val="2"/>
                <c:pt idx="0">
                  <c:v>0</c:v>
                </c:pt>
                <c:pt idx="1">
                  <c:v>2</c:v>
                </c:pt>
              </c:numCache>
            </c:numRef>
          </c:yVal>
          <c:smooth val="0"/>
          <c:extLst>
            <c:ext xmlns:c16="http://schemas.microsoft.com/office/drawing/2014/chart" uri="{C3380CC4-5D6E-409C-BE32-E72D297353CC}">
              <c16:uniqueId val="{00000001-F8EC-407F-97DF-684FDB6822BD}"/>
            </c:ext>
          </c:extLst>
        </c:ser>
        <c:dLbls>
          <c:showLegendKey val="0"/>
          <c:showVal val="0"/>
          <c:showCatName val="0"/>
          <c:showSerName val="0"/>
          <c:showPercent val="0"/>
          <c:showBubbleSize val="0"/>
        </c:dLbls>
        <c:axId val="401303480"/>
        <c:axId val="1"/>
      </c:scatterChart>
      <c:valAx>
        <c:axId val="401303480"/>
        <c:scaling>
          <c:orientation val="minMax"/>
          <c:max val="4"/>
          <c:min val="0"/>
        </c:scaling>
        <c:delete val="0"/>
        <c:axPos val="b"/>
        <c:title>
          <c:tx>
            <c:rich>
              <a:bodyPr/>
              <a:lstStyle/>
              <a:p>
                <a:pPr>
                  <a:defRPr sz="800" b="0" i="0" u="none" strike="noStrike" baseline="0">
                    <a:solidFill>
                      <a:srgbClr val="000000"/>
                    </a:solidFill>
                    <a:latin typeface="Arial"/>
                    <a:ea typeface="Arial"/>
                    <a:cs typeface="Arial"/>
                  </a:defRPr>
                </a:pPr>
                <a:r>
                  <a:rPr lang="en-AU"/>
                  <a:t>X</a:t>
                </a:r>
              </a:p>
            </c:rich>
          </c:tx>
          <c:layout>
            <c:manualLayout>
              <c:xMode val="edge"/>
              <c:yMode val="edge"/>
              <c:x val="0.51590557418297667"/>
              <c:y val="0.8730769230769230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max val="3.5"/>
          <c:min val="-3.5"/>
        </c:scaling>
        <c:delete val="0"/>
        <c:axPos val="l"/>
        <c:majorGridlines>
          <c:spPr>
            <a:ln w="3175">
              <a:solidFill>
                <a:srgbClr val="CCCCFF"/>
              </a:solidFill>
              <a:prstDash val="sysDash"/>
            </a:ln>
          </c:spPr>
        </c:majorGridlines>
        <c:title>
          <c:tx>
            <c:rich>
              <a:bodyPr/>
              <a:lstStyle/>
              <a:p>
                <a:pPr>
                  <a:defRPr sz="800" b="0" i="0" u="none" strike="noStrike" baseline="0">
                    <a:solidFill>
                      <a:srgbClr val="000000"/>
                    </a:solidFill>
                    <a:latin typeface="Arial"/>
                    <a:ea typeface="Arial"/>
                    <a:cs typeface="Arial"/>
                  </a:defRPr>
                </a:pPr>
                <a:r>
                  <a:rPr lang="en-AU"/>
                  <a:t>Y</a:t>
                </a:r>
              </a:p>
            </c:rich>
          </c:tx>
          <c:layout>
            <c:manualLayout>
              <c:xMode val="edge"/>
              <c:yMode val="edge"/>
              <c:x val="2.5844980594908275E-2"/>
              <c:y val="0.48846153846153845"/>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1303480"/>
        <c:crosses val="autoZero"/>
        <c:crossBetween val="midCat"/>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Interpolating!$C$53</c:f>
          <c:strCache>
            <c:ptCount val="1"/>
            <c:pt idx="0">
              <c:v>When X is 3.50 Y is 1.50</c:v>
            </c:pt>
          </c:strCache>
        </c:strRef>
      </c:tx>
      <c:layout>
        <c:manualLayout>
          <c:xMode val="edge"/>
          <c:yMode val="edge"/>
          <c:x val="0.42658740490805125"/>
          <c:y val="2.8776978417266189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119050069911913"/>
          <c:y val="7.5539568345323743E-2"/>
          <c:w val="0.86309544713954556"/>
          <c:h val="0.85251798561151082"/>
        </c:manualLayout>
      </c:layout>
      <c:scatterChart>
        <c:scatterStyle val="smoothMarker"/>
        <c:varyColors val="0"/>
        <c:ser>
          <c:idx val="0"/>
          <c:order val="0"/>
          <c:spPr>
            <a:ln w="38100">
              <a:solidFill>
                <a:srgbClr val="FF6600"/>
              </a:solidFill>
              <a:prstDash val="solid"/>
            </a:ln>
          </c:spPr>
          <c:marker>
            <c:symbol val="circle"/>
            <c:size val="5"/>
            <c:spPr>
              <a:noFill/>
              <a:ln w="6350">
                <a:noFill/>
              </a:ln>
            </c:spPr>
          </c:marker>
          <c:xVal>
            <c:numRef>
              <c:f>Interpolating_calcs_2!$J$19:$J$59</c:f>
              <c:numCache>
                <c:formatCode>General</c:formatCode>
                <c:ptCount val="41"/>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numCache>
            </c:numRef>
          </c:xVal>
          <c:yVal>
            <c:numRef>
              <c:f>Interpolating_calcs_2!$R$19:$R$59</c:f>
              <c:numCache>
                <c:formatCode>General</c:formatCode>
                <c:ptCount val="41"/>
                <c:pt idx="0">
                  <c:v>-2</c:v>
                </c:pt>
                <c:pt idx="1">
                  <c:v>-2.3068392857142856</c:v>
                </c:pt>
                <c:pt idx="2">
                  <c:v>-2.601142857142857</c:v>
                </c:pt>
                <c:pt idx="3">
                  <c:v>-2.8703750000000001</c:v>
                </c:pt>
                <c:pt idx="4">
                  <c:v>-3.1019999999999999</c:v>
                </c:pt>
                <c:pt idx="5">
                  <c:v>-3.2834821428571423</c:v>
                </c:pt>
                <c:pt idx="6">
                  <c:v>-3.4022857142857132</c:v>
                </c:pt>
                <c:pt idx="7">
                  <c:v>-3.445875</c:v>
                </c:pt>
                <c:pt idx="8">
                  <c:v>-3.4017142857142852</c:v>
                </c:pt>
                <c:pt idx="9">
                  <c:v>-3.2572678571428564</c:v>
                </c:pt>
                <c:pt idx="10">
                  <c:v>-3</c:v>
                </c:pt>
                <c:pt idx="11">
                  <c:v>-2.6239107142857154</c:v>
                </c:pt>
                <c:pt idx="12">
                  <c:v>-2.1491428571428579</c:v>
                </c:pt>
                <c:pt idx="13">
                  <c:v>-1.6023750000000001</c:v>
                </c:pt>
                <c:pt idx="14">
                  <c:v>-1.0102857142857136</c:v>
                </c:pt>
                <c:pt idx="15">
                  <c:v>-0.39955357142857029</c:v>
                </c:pt>
                <c:pt idx="16">
                  <c:v>0.20314285714285896</c:v>
                </c:pt>
                <c:pt idx="17">
                  <c:v>0.77112500000000228</c:v>
                </c:pt>
                <c:pt idx="18">
                  <c:v>1.2777142857142882</c:v>
                </c:pt>
                <c:pt idx="19">
                  <c:v>1.6962321428571454</c:v>
                </c:pt>
                <c:pt idx="20">
                  <c:v>2</c:v>
                </c:pt>
                <c:pt idx="21">
                  <c:v>2.1704821428571432</c:v>
                </c:pt>
                <c:pt idx="22">
                  <c:v>2.2217142857142855</c:v>
                </c:pt>
                <c:pt idx="23">
                  <c:v>2.1758749999999991</c:v>
                </c:pt>
                <c:pt idx="24">
                  <c:v>2.0551428571428563</c:v>
                </c:pt>
                <c:pt idx="25">
                  <c:v>1.881696428571427</c:v>
                </c:pt>
                <c:pt idx="26">
                  <c:v>1.6777142857142839</c:v>
                </c:pt>
                <c:pt idx="27">
                  <c:v>1.4653749999999977</c:v>
                </c:pt>
                <c:pt idx="28">
                  <c:v>1.2668571428571407</c:v>
                </c:pt>
                <c:pt idx="29">
                  <c:v>1.1043392857142842</c:v>
                </c:pt>
                <c:pt idx="30">
                  <c:v>1</c:v>
                </c:pt>
                <c:pt idx="31">
                  <c:v>0.97098214285714302</c:v>
                </c:pt>
                <c:pt idx="32">
                  <c:v>1.0142857142857156</c:v>
                </c:pt>
                <c:pt idx="33">
                  <c:v>1.1218750000000024</c:v>
                </c:pt>
                <c:pt idx="34">
                  <c:v>1.2857142857142891</c:v>
                </c:pt>
                <c:pt idx="35">
                  <c:v>1.4977678571428614</c:v>
                </c:pt>
                <c:pt idx="36">
                  <c:v>1.7500000000000053</c:v>
                </c:pt>
                <c:pt idx="37">
                  <c:v>2.034375000000006</c:v>
                </c:pt>
                <c:pt idx="38">
                  <c:v>2.3428571428571496</c:v>
                </c:pt>
                <c:pt idx="39">
                  <c:v>2.667410714285722</c:v>
                </c:pt>
                <c:pt idx="40">
                  <c:v>3</c:v>
                </c:pt>
              </c:numCache>
            </c:numRef>
          </c:yVal>
          <c:smooth val="1"/>
          <c:extLst>
            <c:ext xmlns:c16="http://schemas.microsoft.com/office/drawing/2014/chart" uri="{C3380CC4-5D6E-409C-BE32-E72D297353CC}">
              <c16:uniqueId val="{00000000-5870-40EA-9993-144248B965FE}"/>
            </c:ext>
          </c:extLst>
        </c:ser>
        <c:ser>
          <c:idx val="1"/>
          <c:order val="1"/>
          <c:spPr>
            <a:ln w="12700">
              <a:solidFill>
                <a:srgbClr val="FF00FF"/>
              </a:solidFill>
              <a:prstDash val="solid"/>
            </a:ln>
          </c:spPr>
          <c:marker>
            <c:symbol val="square"/>
            <c:size val="4"/>
            <c:spPr>
              <a:solidFill>
                <a:srgbClr val="000000"/>
              </a:solidFill>
              <a:ln>
                <a:solidFill>
                  <a:srgbClr val="000000"/>
                </a:solidFill>
                <a:prstDash val="solid"/>
              </a:ln>
            </c:spPr>
          </c:marker>
          <c:xVal>
            <c:numRef>
              <c:f>Interpolating!$C$45</c:f>
              <c:numCache>
                <c:formatCode>General</c:formatCode>
                <c:ptCount val="1"/>
                <c:pt idx="0">
                  <c:v>0</c:v>
                </c:pt>
              </c:numCache>
            </c:numRef>
          </c:xVal>
          <c:yVal>
            <c:numRef>
              <c:f>Interpolating!$E$45</c:f>
              <c:numCache>
                <c:formatCode>General</c:formatCode>
                <c:ptCount val="1"/>
                <c:pt idx="0">
                  <c:v>-2</c:v>
                </c:pt>
              </c:numCache>
            </c:numRef>
          </c:yVal>
          <c:smooth val="1"/>
          <c:extLst>
            <c:ext xmlns:c16="http://schemas.microsoft.com/office/drawing/2014/chart" uri="{C3380CC4-5D6E-409C-BE32-E72D297353CC}">
              <c16:uniqueId val="{00000001-5870-40EA-9993-144248B965FE}"/>
            </c:ext>
          </c:extLst>
        </c:ser>
        <c:ser>
          <c:idx val="2"/>
          <c:order val="2"/>
          <c:spPr>
            <a:ln w="12700">
              <a:solidFill>
                <a:srgbClr val="FFFF00"/>
              </a:solidFill>
              <a:prstDash val="solid"/>
            </a:ln>
          </c:spPr>
          <c:marker>
            <c:symbol val="square"/>
            <c:size val="4"/>
            <c:spPr>
              <a:solidFill>
                <a:srgbClr val="000000"/>
              </a:solidFill>
              <a:ln>
                <a:solidFill>
                  <a:srgbClr val="000000"/>
                </a:solidFill>
                <a:prstDash val="solid"/>
              </a:ln>
            </c:spPr>
          </c:marker>
          <c:xVal>
            <c:numRef>
              <c:f>Interpolating!$C$46</c:f>
              <c:numCache>
                <c:formatCode>General</c:formatCode>
                <c:ptCount val="1"/>
                <c:pt idx="0">
                  <c:v>1</c:v>
                </c:pt>
              </c:numCache>
            </c:numRef>
          </c:xVal>
          <c:yVal>
            <c:numRef>
              <c:f>Interpolating!$E$46</c:f>
              <c:numCache>
                <c:formatCode>General</c:formatCode>
                <c:ptCount val="1"/>
                <c:pt idx="0">
                  <c:v>-3</c:v>
                </c:pt>
              </c:numCache>
            </c:numRef>
          </c:yVal>
          <c:smooth val="1"/>
          <c:extLst>
            <c:ext xmlns:c16="http://schemas.microsoft.com/office/drawing/2014/chart" uri="{C3380CC4-5D6E-409C-BE32-E72D297353CC}">
              <c16:uniqueId val="{00000002-5870-40EA-9993-144248B965FE}"/>
            </c:ext>
          </c:extLst>
        </c:ser>
        <c:ser>
          <c:idx val="3"/>
          <c:order val="3"/>
          <c:spPr>
            <a:ln w="12700">
              <a:solidFill>
                <a:srgbClr val="00FFFF"/>
              </a:solidFill>
              <a:prstDash val="solid"/>
            </a:ln>
          </c:spPr>
          <c:marker>
            <c:symbol val="square"/>
            <c:size val="4"/>
            <c:spPr>
              <a:solidFill>
                <a:srgbClr val="000000"/>
              </a:solidFill>
              <a:ln>
                <a:solidFill>
                  <a:srgbClr val="000000"/>
                </a:solidFill>
                <a:prstDash val="solid"/>
              </a:ln>
            </c:spPr>
          </c:marker>
          <c:xVal>
            <c:numRef>
              <c:f>Interpolating!$C$47</c:f>
              <c:numCache>
                <c:formatCode>General</c:formatCode>
                <c:ptCount val="1"/>
                <c:pt idx="0">
                  <c:v>2</c:v>
                </c:pt>
              </c:numCache>
            </c:numRef>
          </c:xVal>
          <c:yVal>
            <c:numRef>
              <c:f>Interpolating!$E$47</c:f>
              <c:numCache>
                <c:formatCode>General</c:formatCode>
                <c:ptCount val="1"/>
                <c:pt idx="0">
                  <c:v>2</c:v>
                </c:pt>
              </c:numCache>
            </c:numRef>
          </c:yVal>
          <c:smooth val="1"/>
          <c:extLst>
            <c:ext xmlns:c16="http://schemas.microsoft.com/office/drawing/2014/chart" uri="{C3380CC4-5D6E-409C-BE32-E72D297353CC}">
              <c16:uniqueId val="{00000003-5870-40EA-9993-144248B965FE}"/>
            </c:ext>
          </c:extLst>
        </c:ser>
        <c:ser>
          <c:idx val="4"/>
          <c:order val="4"/>
          <c:spPr>
            <a:ln w="12700">
              <a:solidFill>
                <a:srgbClr val="800080"/>
              </a:solidFill>
              <a:prstDash val="solid"/>
            </a:ln>
          </c:spPr>
          <c:marker>
            <c:symbol val="square"/>
            <c:size val="4"/>
            <c:spPr>
              <a:solidFill>
                <a:srgbClr val="000000"/>
              </a:solidFill>
              <a:ln>
                <a:solidFill>
                  <a:srgbClr val="000000"/>
                </a:solidFill>
                <a:prstDash val="solid"/>
              </a:ln>
            </c:spPr>
          </c:marker>
          <c:xVal>
            <c:numRef>
              <c:f>Interpolating!$C$48</c:f>
              <c:numCache>
                <c:formatCode>General</c:formatCode>
                <c:ptCount val="1"/>
                <c:pt idx="0">
                  <c:v>3</c:v>
                </c:pt>
              </c:numCache>
            </c:numRef>
          </c:xVal>
          <c:yVal>
            <c:numRef>
              <c:f>Interpolating!$E$48</c:f>
              <c:numCache>
                <c:formatCode>General</c:formatCode>
                <c:ptCount val="1"/>
                <c:pt idx="0">
                  <c:v>1</c:v>
                </c:pt>
              </c:numCache>
            </c:numRef>
          </c:yVal>
          <c:smooth val="1"/>
          <c:extLst>
            <c:ext xmlns:c16="http://schemas.microsoft.com/office/drawing/2014/chart" uri="{C3380CC4-5D6E-409C-BE32-E72D297353CC}">
              <c16:uniqueId val="{00000004-5870-40EA-9993-144248B965FE}"/>
            </c:ext>
          </c:extLst>
        </c:ser>
        <c:ser>
          <c:idx val="5"/>
          <c:order val="5"/>
          <c:spPr>
            <a:ln w="12700">
              <a:solidFill>
                <a:srgbClr val="800000"/>
              </a:solidFill>
              <a:prstDash val="solid"/>
            </a:ln>
          </c:spPr>
          <c:marker>
            <c:symbol val="square"/>
            <c:size val="4"/>
            <c:spPr>
              <a:solidFill>
                <a:srgbClr val="000000"/>
              </a:solidFill>
              <a:ln>
                <a:solidFill>
                  <a:srgbClr val="000000"/>
                </a:solidFill>
                <a:prstDash val="solid"/>
              </a:ln>
            </c:spPr>
          </c:marker>
          <c:xVal>
            <c:numRef>
              <c:f>Interpolating!$C$49</c:f>
              <c:numCache>
                <c:formatCode>General</c:formatCode>
                <c:ptCount val="1"/>
                <c:pt idx="0">
                  <c:v>4</c:v>
                </c:pt>
              </c:numCache>
            </c:numRef>
          </c:xVal>
          <c:yVal>
            <c:numRef>
              <c:f>Interpolating!$E$49</c:f>
              <c:numCache>
                <c:formatCode>General</c:formatCode>
                <c:ptCount val="1"/>
                <c:pt idx="0">
                  <c:v>3</c:v>
                </c:pt>
              </c:numCache>
            </c:numRef>
          </c:yVal>
          <c:smooth val="1"/>
          <c:extLst>
            <c:ext xmlns:c16="http://schemas.microsoft.com/office/drawing/2014/chart" uri="{C3380CC4-5D6E-409C-BE32-E72D297353CC}">
              <c16:uniqueId val="{00000005-5870-40EA-9993-144248B965FE}"/>
            </c:ext>
          </c:extLst>
        </c:ser>
        <c:ser>
          <c:idx val="6"/>
          <c:order val="6"/>
          <c:spPr>
            <a:ln w="38100">
              <a:solidFill>
                <a:srgbClr val="000000"/>
              </a:solidFill>
              <a:prstDash val="solid"/>
            </a:ln>
          </c:spPr>
          <c:marker>
            <c:symbol val="circle"/>
            <c:size val="8"/>
            <c:spPr>
              <a:solidFill>
                <a:srgbClr val="000000"/>
              </a:solidFill>
              <a:ln>
                <a:solidFill>
                  <a:srgbClr val="000000"/>
                </a:solidFill>
                <a:prstDash val="solid"/>
              </a:ln>
            </c:spPr>
          </c:marker>
          <c:xVal>
            <c:numRef>
              <c:f>Interpolating_calcs_2!$J$17:$J$18</c:f>
              <c:numCache>
                <c:formatCode>General</c:formatCode>
                <c:ptCount val="2"/>
                <c:pt idx="0">
                  <c:v>3.5</c:v>
                </c:pt>
              </c:numCache>
            </c:numRef>
          </c:xVal>
          <c:yVal>
            <c:numRef>
              <c:f>Interpolating_calcs_2!$R$17:$R$18</c:f>
              <c:numCache>
                <c:formatCode>General</c:formatCode>
                <c:ptCount val="2"/>
                <c:pt idx="0">
                  <c:v>1.4977678571428572</c:v>
                </c:pt>
              </c:numCache>
            </c:numRef>
          </c:yVal>
          <c:smooth val="1"/>
          <c:extLst>
            <c:ext xmlns:c16="http://schemas.microsoft.com/office/drawing/2014/chart" uri="{C3380CC4-5D6E-409C-BE32-E72D297353CC}">
              <c16:uniqueId val="{00000006-5870-40EA-9993-144248B965FE}"/>
            </c:ext>
          </c:extLst>
        </c:ser>
        <c:dLbls>
          <c:showLegendKey val="0"/>
          <c:showVal val="0"/>
          <c:showCatName val="0"/>
          <c:showSerName val="0"/>
          <c:showPercent val="0"/>
          <c:showBubbleSize val="0"/>
        </c:dLbls>
        <c:axId val="403910720"/>
        <c:axId val="1"/>
      </c:scatterChart>
      <c:valAx>
        <c:axId val="403910720"/>
        <c:scaling>
          <c:orientation val="minMax"/>
          <c:max val="4"/>
        </c:scaling>
        <c:delete val="0"/>
        <c:axPos val="b"/>
        <c:title>
          <c:tx>
            <c:rich>
              <a:bodyPr/>
              <a:lstStyle/>
              <a:p>
                <a:pPr>
                  <a:defRPr sz="800" b="0" i="0" u="none" strike="noStrike" baseline="0">
                    <a:solidFill>
                      <a:srgbClr val="000000"/>
                    </a:solidFill>
                    <a:latin typeface="Arial"/>
                    <a:ea typeface="Arial"/>
                    <a:cs typeface="Arial"/>
                  </a:defRPr>
                </a:pPr>
                <a:r>
                  <a:rPr lang="en-AU"/>
                  <a:t>X</a:t>
                </a:r>
              </a:p>
            </c:rich>
          </c:tx>
          <c:layout>
            <c:manualLayout>
              <c:xMode val="edge"/>
              <c:yMode val="edge"/>
              <c:x val="0.51785726828372736"/>
              <c:y val="0.8812949640287769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max val="3.5"/>
          <c:min val="-3.5"/>
        </c:scaling>
        <c:delete val="0"/>
        <c:axPos val="l"/>
        <c:majorGridlines>
          <c:spPr>
            <a:ln w="3175">
              <a:solidFill>
                <a:srgbClr val="CCCCFF"/>
              </a:solidFill>
              <a:prstDash val="sysDash"/>
            </a:ln>
          </c:spPr>
        </c:majorGridlines>
        <c:title>
          <c:tx>
            <c:rich>
              <a:bodyPr/>
              <a:lstStyle/>
              <a:p>
                <a:pPr>
                  <a:defRPr sz="800" b="0" i="0" u="none" strike="noStrike" baseline="0">
                    <a:solidFill>
                      <a:srgbClr val="000000"/>
                    </a:solidFill>
                    <a:latin typeface="Arial"/>
                    <a:ea typeface="Arial"/>
                    <a:cs typeface="Arial"/>
                  </a:defRPr>
                </a:pPr>
                <a:r>
                  <a:rPr lang="en-AU"/>
                  <a:t>Y</a:t>
                </a:r>
              </a:p>
            </c:rich>
          </c:tx>
          <c:layout>
            <c:manualLayout>
              <c:xMode val="edge"/>
              <c:yMode val="edge"/>
              <c:x val="3.2738103167362073E-2"/>
              <c:y val="0.4748201438848920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10720"/>
        <c:crosses val="autoZero"/>
        <c:crossBetween val="midCat"/>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Interpolating!$C$25</c:f>
          <c:strCache>
            <c:ptCount val="1"/>
            <c:pt idx="0">
              <c:v>   When X is 3.50 Y is 1.00</c:v>
            </c:pt>
          </c:strCache>
        </c:strRef>
      </c:tx>
      <c:layout>
        <c:manualLayout>
          <c:xMode val="edge"/>
          <c:yMode val="edge"/>
          <c:x val="0.40575406652882084"/>
          <c:y val="4.6931738857590097E-2"/>
        </c:manualLayout>
      </c:layout>
      <c:overlay val="0"/>
      <c:spPr>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C0C0C0" mc:Ignorable="a14" a14:legacySpreadsheetColorIndex="22"/>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019843696677483"/>
          <c:y val="0.1768965541555319"/>
          <c:w val="0.86408751087188984"/>
          <c:h val="0.75090782172144155"/>
        </c:manualLayout>
      </c:layout>
      <c:scatterChart>
        <c:scatterStyle val="lineMarker"/>
        <c:varyColors val="0"/>
        <c:ser>
          <c:idx val="1"/>
          <c:order val="0"/>
          <c:spPr>
            <a:ln w="38100">
              <a:solidFill>
                <a:srgbClr val="FF6600"/>
              </a:solidFill>
              <a:prstDash val="solid"/>
            </a:ln>
          </c:spPr>
          <c:marker>
            <c:symbol val="none"/>
          </c:marker>
          <c:xVal>
            <c:numRef>
              <c:f>Interpolating_calcs!$B$20:$B$30</c:f>
              <c:numCache>
                <c:formatCode>General</c:formatCode>
                <c:ptCount val="11"/>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numCache>
            </c:numRef>
          </c:xVal>
          <c:yVal>
            <c:numRef>
              <c:f>Interpolating_calcs!$C$20:$C$30</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yVal>
          <c:smooth val="0"/>
          <c:extLst>
            <c:ext xmlns:c16="http://schemas.microsoft.com/office/drawing/2014/chart" uri="{C3380CC4-5D6E-409C-BE32-E72D297353CC}">
              <c16:uniqueId val="{00000000-40F0-42BF-B6F3-6113E918F47E}"/>
            </c:ext>
          </c:extLst>
        </c:ser>
        <c:ser>
          <c:idx val="2"/>
          <c:order val="1"/>
          <c:spPr>
            <a:ln w="38100">
              <a:solidFill>
                <a:srgbClr val="FF6600"/>
              </a:solidFill>
              <a:prstDash val="solid"/>
            </a:ln>
          </c:spPr>
          <c:marker>
            <c:symbol val="none"/>
          </c:marker>
          <c:xVal>
            <c:numRef>
              <c:f>Interpolating_calcs!$E$20:$E$30</c:f>
              <c:numCache>
                <c:formatCode>General</c:formatCode>
                <c:ptCount val="1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numCache>
            </c:numRef>
          </c:xVal>
          <c:yVal>
            <c:numRef>
              <c:f>Interpolating_calcs!$F$20:$F$30</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yVal>
          <c:smooth val="0"/>
          <c:extLst>
            <c:ext xmlns:c16="http://schemas.microsoft.com/office/drawing/2014/chart" uri="{C3380CC4-5D6E-409C-BE32-E72D297353CC}">
              <c16:uniqueId val="{00000001-40F0-42BF-B6F3-6113E918F47E}"/>
            </c:ext>
          </c:extLst>
        </c:ser>
        <c:ser>
          <c:idx val="3"/>
          <c:order val="2"/>
          <c:spPr>
            <a:ln w="38100">
              <a:solidFill>
                <a:srgbClr val="FF6600"/>
              </a:solidFill>
              <a:prstDash val="solid"/>
            </a:ln>
          </c:spPr>
          <c:marker>
            <c:symbol val="none"/>
          </c:marker>
          <c:xVal>
            <c:numRef>
              <c:f>Interpolating_calcs!$H$20:$H$30</c:f>
              <c:numCache>
                <c:formatCode>General</c:formatCode>
                <c:ptCount val="11"/>
                <c:pt idx="0">
                  <c:v>2</c:v>
                </c:pt>
                <c:pt idx="1">
                  <c:v>2.1</c:v>
                </c:pt>
                <c:pt idx="2">
                  <c:v>2.2000000000000002</c:v>
                </c:pt>
                <c:pt idx="3">
                  <c:v>2.3000000000000003</c:v>
                </c:pt>
                <c:pt idx="4">
                  <c:v>2.4000000000000004</c:v>
                </c:pt>
                <c:pt idx="5">
                  <c:v>2.5000000000000004</c:v>
                </c:pt>
                <c:pt idx="6">
                  <c:v>2.6000000000000005</c:v>
                </c:pt>
                <c:pt idx="7">
                  <c:v>2.7000000000000006</c:v>
                </c:pt>
                <c:pt idx="8">
                  <c:v>2.8000000000000007</c:v>
                </c:pt>
                <c:pt idx="9">
                  <c:v>2.9000000000000008</c:v>
                </c:pt>
                <c:pt idx="10">
                  <c:v>3.0000000000000009</c:v>
                </c:pt>
              </c:numCache>
            </c:numRef>
          </c:xVal>
          <c:yVal>
            <c:numRef>
              <c:f>Interpolating_calcs!$I$20:$I$30</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yVal>
          <c:smooth val="0"/>
          <c:extLst>
            <c:ext xmlns:c16="http://schemas.microsoft.com/office/drawing/2014/chart" uri="{C3380CC4-5D6E-409C-BE32-E72D297353CC}">
              <c16:uniqueId val="{00000002-40F0-42BF-B6F3-6113E918F47E}"/>
            </c:ext>
          </c:extLst>
        </c:ser>
        <c:ser>
          <c:idx val="4"/>
          <c:order val="3"/>
          <c:spPr>
            <a:ln w="38100">
              <a:solidFill>
                <a:srgbClr val="FF6600"/>
              </a:solidFill>
              <a:prstDash val="solid"/>
            </a:ln>
          </c:spPr>
          <c:marker>
            <c:symbol val="none"/>
          </c:marker>
          <c:xVal>
            <c:numRef>
              <c:f>Interpolating_calcs!$K$20:$K$30</c:f>
              <c:numCache>
                <c:formatCode>General</c:formatCode>
                <c:ptCount val="11"/>
                <c:pt idx="0">
                  <c:v>3</c:v>
                </c:pt>
                <c:pt idx="1">
                  <c:v>3.1</c:v>
                </c:pt>
                <c:pt idx="2">
                  <c:v>3.2</c:v>
                </c:pt>
                <c:pt idx="3">
                  <c:v>3.3000000000000003</c:v>
                </c:pt>
                <c:pt idx="4">
                  <c:v>3.4000000000000004</c:v>
                </c:pt>
                <c:pt idx="5">
                  <c:v>3.5000000000000004</c:v>
                </c:pt>
                <c:pt idx="6">
                  <c:v>3.6000000000000005</c:v>
                </c:pt>
                <c:pt idx="7">
                  <c:v>3.7000000000000006</c:v>
                </c:pt>
                <c:pt idx="8">
                  <c:v>3.8000000000000007</c:v>
                </c:pt>
                <c:pt idx="9">
                  <c:v>3.9000000000000008</c:v>
                </c:pt>
                <c:pt idx="10">
                  <c:v>4.0000000000000009</c:v>
                </c:pt>
              </c:numCache>
            </c:numRef>
          </c:xVal>
          <c:yVal>
            <c:numRef>
              <c:f>Interpolating_calcs!$L$20:$L$30</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yVal>
          <c:smooth val="0"/>
          <c:extLst>
            <c:ext xmlns:c16="http://schemas.microsoft.com/office/drawing/2014/chart" uri="{C3380CC4-5D6E-409C-BE32-E72D297353CC}">
              <c16:uniqueId val="{00000003-40F0-42BF-B6F3-6113E918F47E}"/>
            </c:ext>
          </c:extLst>
        </c:ser>
        <c:ser>
          <c:idx val="5"/>
          <c:order val="4"/>
          <c:spPr>
            <a:ln w="38100">
              <a:solidFill>
                <a:srgbClr val="FF6600"/>
              </a:solidFill>
              <a:prstDash val="solid"/>
            </a:ln>
          </c:spPr>
          <c:marker>
            <c:symbol val="none"/>
          </c:marker>
          <c:xVal>
            <c:numRef>
              <c:f>Interpolating_calcs!$B$32:$B$33</c:f>
              <c:numCache>
                <c:formatCode>General</c:formatCode>
                <c:ptCount val="2"/>
                <c:pt idx="0">
                  <c:v>1</c:v>
                </c:pt>
                <c:pt idx="1">
                  <c:v>1</c:v>
                </c:pt>
              </c:numCache>
            </c:numRef>
          </c:xVal>
          <c:yVal>
            <c:numRef>
              <c:f>Interpolating_calcs!$C$32:$C$33</c:f>
              <c:numCache>
                <c:formatCode>General</c:formatCode>
                <c:ptCount val="2"/>
                <c:pt idx="0">
                  <c:v>-2</c:v>
                </c:pt>
                <c:pt idx="1">
                  <c:v>-3</c:v>
                </c:pt>
              </c:numCache>
            </c:numRef>
          </c:yVal>
          <c:smooth val="0"/>
          <c:extLst>
            <c:ext xmlns:c16="http://schemas.microsoft.com/office/drawing/2014/chart" uri="{C3380CC4-5D6E-409C-BE32-E72D297353CC}">
              <c16:uniqueId val="{00000004-40F0-42BF-B6F3-6113E918F47E}"/>
            </c:ext>
          </c:extLst>
        </c:ser>
        <c:ser>
          <c:idx val="6"/>
          <c:order val="5"/>
          <c:spPr>
            <a:ln w="38100">
              <a:solidFill>
                <a:srgbClr val="FF6600"/>
              </a:solidFill>
              <a:prstDash val="solid"/>
            </a:ln>
          </c:spPr>
          <c:marker>
            <c:symbol val="none"/>
          </c:marker>
          <c:xVal>
            <c:numRef>
              <c:f>Interpolating_calcs!$E$32:$E$33</c:f>
              <c:numCache>
                <c:formatCode>General</c:formatCode>
                <c:ptCount val="2"/>
                <c:pt idx="0">
                  <c:v>2</c:v>
                </c:pt>
                <c:pt idx="1">
                  <c:v>2</c:v>
                </c:pt>
              </c:numCache>
            </c:numRef>
          </c:xVal>
          <c:yVal>
            <c:numRef>
              <c:f>Interpolating_calcs!$F$32:$F$33</c:f>
              <c:numCache>
                <c:formatCode>General</c:formatCode>
                <c:ptCount val="2"/>
                <c:pt idx="0">
                  <c:v>-3</c:v>
                </c:pt>
                <c:pt idx="1">
                  <c:v>2</c:v>
                </c:pt>
              </c:numCache>
            </c:numRef>
          </c:yVal>
          <c:smooth val="0"/>
          <c:extLst>
            <c:ext xmlns:c16="http://schemas.microsoft.com/office/drawing/2014/chart" uri="{C3380CC4-5D6E-409C-BE32-E72D297353CC}">
              <c16:uniqueId val="{00000005-40F0-42BF-B6F3-6113E918F47E}"/>
            </c:ext>
          </c:extLst>
        </c:ser>
        <c:ser>
          <c:idx val="7"/>
          <c:order val="6"/>
          <c:spPr>
            <a:ln w="38100">
              <a:solidFill>
                <a:srgbClr val="FF6600"/>
              </a:solidFill>
              <a:prstDash val="solid"/>
            </a:ln>
          </c:spPr>
          <c:marker>
            <c:symbol val="none"/>
          </c:marker>
          <c:xVal>
            <c:numRef>
              <c:f>Interpolating_calcs!$H$32:$H$33</c:f>
              <c:numCache>
                <c:formatCode>General</c:formatCode>
                <c:ptCount val="2"/>
                <c:pt idx="0">
                  <c:v>3</c:v>
                </c:pt>
                <c:pt idx="1">
                  <c:v>3</c:v>
                </c:pt>
              </c:numCache>
            </c:numRef>
          </c:xVal>
          <c:yVal>
            <c:numRef>
              <c:f>Interpolating_calcs!$I$32:$I$33</c:f>
              <c:numCache>
                <c:formatCode>General</c:formatCode>
                <c:ptCount val="2"/>
                <c:pt idx="0">
                  <c:v>2</c:v>
                </c:pt>
                <c:pt idx="1">
                  <c:v>1</c:v>
                </c:pt>
              </c:numCache>
            </c:numRef>
          </c:yVal>
          <c:smooth val="0"/>
          <c:extLst>
            <c:ext xmlns:c16="http://schemas.microsoft.com/office/drawing/2014/chart" uri="{C3380CC4-5D6E-409C-BE32-E72D297353CC}">
              <c16:uniqueId val="{00000006-40F0-42BF-B6F3-6113E918F47E}"/>
            </c:ext>
          </c:extLst>
        </c:ser>
        <c:ser>
          <c:idx val="8"/>
          <c:order val="7"/>
          <c:spPr>
            <a:ln w="38100">
              <a:solidFill>
                <a:srgbClr val="FF6600"/>
              </a:solidFill>
              <a:prstDash val="solid"/>
            </a:ln>
          </c:spPr>
          <c:marker>
            <c:symbol val="none"/>
          </c:marker>
          <c:xVal>
            <c:numRef>
              <c:f>Interpolating_calcs!$K$32:$K$33</c:f>
              <c:numCache>
                <c:formatCode>General</c:formatCode>
                <c:ptCount val="2"/>
                <c:pt idx="0">
                  <c:v>4</c:v>
                </c:pt>
                <c:pt idx="1">
                  <c:v>4</c:v>
                </c:pt>
              </c:numCache>
            </c:numRef>
          </c:xVal>
          <c:yVal>
            <c:numRef>
              <c:f>Interpolating_calcs!$L$32:$L$33</c:f>
              <c:numCache>
                <c:formatCode>General</c:formatCode>
                <c:ptCount val="2"/>
                <c:pt idx="0">
                  <c:v>1</c:v>
                </c:pt>
                <c:pt idx="1">
                  <c:v>3</c:v>
                </c:pt>
              </c:numCache>
            </c:numRef>
          </c:yVal>
          <c:smooth val="0"/>
          <c:extLst>
            <c:ext xmlns:c16="http://schemas.microsoft.com/office/drawing/2014/chart" uri="{C3380CC4-5D6E-409C-BE32-E72D297353CC}">
              <c16:uniqueId val="{00000007-40F0-42BF-B6F3-6113E918F47E}"/>
            </c:ext>
          </c:extLst>
        </c:ser>
        <c:ser>
          <c:idx val="9"/>
          <c:order val="8"/>
          <c:spPr>
            <a:ln w="12700">
              <a:solidFill>
                <a:srgbClr val="CCFFFF"/>
              </a:solidFill>
              <a:prstDash val="solid"/>
            </a:ln>
          </c:spPr>
          <c:marker>
            <c:symbol val="square"/>
            <c:size val="4"/>
            <c:spPr>
              <a:solidFill>
                <a:srgbClr val="000000"/>
              </a:solidFill>
              <a:ln>
                <a:solidFill>
                  <a:srgbClr val="000000"/>
                </a:solidFill>
                <a:prstDash val="solid"/>
              </a:ln>
            </c:spPr>
          </c:marker>
          <c:xVal>
            <c:numRef>
              <c:f>Interpolating!$C$17</c:f>
              <c:numCache>
                <c:formatCode>General</c:formatCode>
                <c:ptCount val="1"/>
                <c:pt idx="0">
                  <c:v>0</c:v>
                </c:pt>
              </c:numCache>
            </c:numRef>
          </c:xVal>
          <c:yVal>
            <c:numRef>
              <c:f>Interpolating!$E$17</c:f>
              <c:numCache>
                <c:formatCode>General</c:formatCode>
                <c:ptCount val="1"/>
                <c:pt idx="0">
                  <c:v>-2</c:v>
                </c:pt>
              </c:numCache>
            </c:numRef>
          </c:yVal>
          <c:smooth val="0"/>
          <c:extLst>
            <c:ext xmlns:c16="http://schemas.microsoft.com/office/drawing/2014/chart" uri="{C3380CC4-5D6E-409C-BE32-E72D297353CC}">
              <c16:uniqueId val="{00000008-40F0-42BF-B6F3-6113E918F47E}"/>
            </c:ext>
          </c:extLst>
        </c:ser>
        <c:ser>
          <c:idx val="10"/>
          <c:order val="9"/>
          <c:spPr>
            <a:ln w="12700">
              <a:solidFill>
                <a:srgbClr val="CCFFCC"/>
              </a:solidFill>
              <a:prstDash val="solid"/>
            </a:ln>
          </c:spPr>
          <c:marker>
            <c:symbol val="square"/>
            <c:size val="5"/>
            <c:spPr>
              <a:solidFill>
                <a:srgbClr val="000000"/>
              </a:solidFill>
              <a:ln>
                <a:solidFill>
                  <a:srgbClr val="000000"/>
                </a:solidFill>
                <a:prstDash val="solid"/>
              </a:ln>
            </c:spPr>
          </c:marker>
          <c:xVal>
            <c:numRef>
              <c:f>Interpolating!$C$18</c:f>
              <c:numCache>
                <c:formatCode>General</c:formatCode>
                <c:ptCount val="1"/>
                <c:pt idx="0">
                  <c:v>1</c:v>
                </c:pt>
              </c:numCache>
            </c:numRef>
          </c:xVal>
          <c:yVal>
            <c:numRef>
              <c:f>Interpolating!$E$18</c:f>
              <c:numCache>
                <c:formatCode>General</c:formatCode>
                <c:ptCount val="1"/>
                <c:pt idx="0">
                  <c:v>-3</c:v>
                </c:pt>
              </c:numCache>
            </c:numRef>
          </c:yVal>
          <c:smooth val="0"/>
          <c:extLst>
            <c:ext xmlns:c16="http://schemas.microsoft.com/office/drawing/2014/chart" uri="{C3380CC4-5D6E-409C-BE32-E72D297353CC}">
              <c16:uniqueId val="{00000009-40F0-42BF-B6F3-6113E918F47E}"/>
            </c:ext>
          </c:extLst>
        </c:ser>
        <c:ser>
          <c:idx val="11"/>
          <c:order val="10"/>
          <c:spPr>
            <a:ln w="12700">
              <a:solidFill>
                <a:srgbClr val="FFFF99"/>
              </a:solidFill>
              <a:prstDash val="solid"/>
            </a:ln>
          </c:spPr>
          <c:marker>
            <c:symbol val="square"/>
            <c:size val="4"/>
            <c:spPr>
              <a:solidFill>
                <a:srgbClr val="000000"/>
              </a:solidFill>
              <a:ln>
                <a:solidFill>
                  <a:srgbClr val="000000"/>
                </a:solidFill>
                <a:prstDash val="solid"/>
              </a:ln>
            </c:spPr>
          </c:marker>
          <c:xVal>
            <c:numRef>
              <c:f>Interpolating!$C$19</c:f>
              <c:numCache>
                <c:formatCode>General</c:formatCode>
                <c:ptCount val="1"/>
                <c:pt idx="0">
                  <c:v>2</c:v>
                </c:pt>
              </c:numCache>
            </c:numRef>
          </c:xVal>
          <c:yVal>
            <c:numRef>
              <c:f>Interpolating!$E$19</c:f>
              <c:numCache>
                <c:formatCode>General</c:formatCode>
                <c:ptCount val="1"/>
                <c:pt idx="0">
                  <c:v>2</c:v>
                </c:pt>
              </c:numCache>
            </c:numRef>
          </c:yVal>
          <c:smooth val="0"/>
          <c:extLst>
            <c:ext xmlns:c16="http://schemas.microsoft.com/office/drawing/2014/chart" uri="{C3380CC4-5D6E-409C-BE32-E72D297353CC}">
              <c16:uniqueId val="{0000000A-40F0-42BF-B6F3-6113E918F47E}"/>
            </c:ext>
          </c:extLst>
        </c:ser>
        <c:ser>
          <c:idx val="12"/>
          <c:order val="11"/>
          <c:spPr>
            <a:ln w="12700">
              <a:solidFill>
                <a:srgbClr val="99CCFF"/>
              </a:solidFill>
              <a:prstDash val="solid"/>
            </a:ln>
          </c:spPr>
          <c:marker>
            <c:symbol val="square"/>
            <c:size val="4"/>
            <c:spPr>
              <a:solidFill>
                <a:srgbClr val="000000"/>
              </a:solidFill>
              <a:ln>
                <a:solidFill>
                  <a:srgbClr val="000000"/>
                </a:solidFill>
                <a:prstDash val="solid"/>
              </a:ln>
            </c:spPr>
          </c:marker>
          <c:xVal>
            <c:numRef>
              <c:f>Interpolating!$C$20</c:f>
              <c:numCache>
                <c:formatCode>General</c:formatCode>
                <c:ptCount val="1"/>
                <c:pt idx="0">
                  <c:v>3</c:v>
                </c:pt>
              </c:numCache>
            </c:numRef>
          </c:xVal>
          <c:yVal>
            <c:numRef>
              <c:f>Interpolating!$E$20</c:f>
              <c:numCache>
                <c:formatCode>General</c:formatCode>
                <c:ptCount val="1"/>
                <c:pt idx="0">
                  <c:v>1</c:v>
                </c:pt>
              </c:numCache>
            </c:numRef>
          </c:yVal>
          <c:smooth val="0"/>
          <c:extLst>
            <c:ext xmlns:c16="http://schemas.microsoft.com/office/drawing/2014/chart" uri="{C3380CC4-5D6E-409C-BE32-E72D297353CC}">
              <c16:uniqueId val="{0000000B-40F0-42BF-B6F3-6113E918F47E}"/>
            </c:ext>
          </c:extLst>
        </c:ser>
        <c:ser>
          <c:idx val="13"/>
          <c:order val="12"/>
          <c:spPr>
            <a:ln w="12700">
              <a:solidFill>
                <a:srgbClr val="FF99CC"/>
              </a:solidFill>
              <a:prstDash val="solid"/>
            </a:ln>
          </c:spPr>
          <c:marker>
            <c:symbol val="square"/>
            <c:size val="4"/>
            <c:spPr>
              <a:solidFill>
                <a:srgbClr val="000000"/>
              </a:solidFill>
              <a:ln>
                <a:solidFill>
                  <a:srgbClr val="000000"/>
                </a:solidFill>
                <a:prstDash val="solid"/>
              </a:ln>
            </c:spPr>
          </c:marker>
          <c:xVal>
            <c:numRef>
              <c:f>Interpolating!$C$21</c:f>
              <c:numCache>
                <c:formatCode>General</c:formatCode>
                <c:ptCount val="1"/>
                <c:pt idx="0">
                  <c:v>4</c:v>
                </c:pt>
              </c:numCache>
            </c:numRef>
          </c:xVal>
          <c:yVal>
            <c:numRef>
              <c:f>Interpolating!$E$21</c:f>
              <c:numCache>
                <c:formatCode>General</c:formatCode>
                <c:ptCount val="1"/>
                <c:pt idx="0">
                  <c:v>3</c:v>
                </c:pt>
              </c:numCache>
            </c:numRef>
          </c:yVal>
          <c:smooth val="0"/>
          <c:extLst>
            <c:ext xmlns:c16="http://schemas.microsoft.com/office/drawing/2014/chart" uri="{C3380CC4-5D6E-409C-BE32-E72D297353CC}">
              <c16:uniqueId val="{0000000C-40F0-42BF-B6F3-6113E918F47E}"/>
            </c:ext>
          </c:extLst>
        </c:ser>
        <c:ser>
          <c:idx val="0"/>
          <c:order val="13"/>
          <c:spPr>
            <a:ln w="38100">
              <a:solidFill>
                <a:srgbClr val="000000"/>
              </a:solidFill>
              <a:prstDash val="solid"/>
            </a:ln>
          </c:spPr>
          <c:marker>
            <c:symbol val="circle"/>
            <c:size val="8"/>
            <c:spPr>
              <a:solidFill>
                <a:srgbClr val="000000"/>
              </a:solidFill>
              <a:ln>
                <a:solidFill>
                  <a:srgbClr val="000000"/>
                </a:solidFill>
                <a:prstDash val="solid"/>
              </a:ln>
            </c:spPr>
          </c:marker>
          <c:xVal>
            <c:numRef>
              <c:f>Interpolating_calcs!$B$18:$C$18</c:f>
              <c:numCache>
                <c:formatCode>General</c:formatCode>
                <c:ptCount val="2"/>
                <c:pt idx="0">
                  <c:v>3.5</c:v>
                </c:pt>
                <c:pt idx="1">
                  <c:v>3.5</c:v>
                </c:pt>
              </c:numCache>
            </c:numRef>
          </c:xVal>
          <c:yVal>
            <c:numRef>
              <c:f>Interpolating_calcs!$B$17:$C$17</c:f>
              <c:numCache>
                <c:formatCode>General</c:formatCode>
                <c:ptCount val="2"/>
                <c:pt idx="0">
                  <c:v>0</c:v>
                </c:pt>
                <c:pt idx="1">
                  <c:v>1</c:v>
                </c:pt>
              </c:numCache>
            </c:numRef>
          </c:yVal>
          <c:smooth val="0"/>
          <c:extLst>
            <c:ext xmlns:c16="http://schemas.microsoft.com/office/drawing/2014/chart" uri="{C3380CC4-5D6E-409C-BE32-E72D297353CC}">
              <c16:uniqueId val="{0000000D-40F0-42BF-B6F3-6113E918F47E}"/>
            </c:ext>
          </c:extLst>
        </c:ser>
        <c:dLbls>
          <c:showLegendKey val="0"/>
          <c:showVal val="0"/>
          <c:showCatName val="0"/>
          <c:showSerName val="0"/>
          <c:showPercent val="0"/>
          <c:showBubbleSize val="0"/>
        </c:dLbls>
        <c:axId val="403911048"/>
        <c:axId val="1"/>
      </c:scatterChart>
      <c:valAx>
        <c:axId val="403911048"/>
        <c:scaling>
          <c:orientation val="minMax"/>
          <c:max val="4"/>
          <c:min val="0"/>
        </c:scaling>
        <c:delete val="0"/>
        <c:axPos val="b"/>
        <c:title>
          <c:tx>
            <c:rich>
              <a:bodyPr/>
              <a:lstStyle/>
              <a:p>
                <a:pPr>
                  <a:defRPr sz="850" b="0" i="0" u="none" strike="noStrike" baseline="0">
                    <a:solidFill>
                      <a:srgbClr val="000000"/>
                    </a:solidFill>
                    <a:latin typeface="Arial"/>
                    <a:ea typeface="Arial"/>
                    <a:cs typeface="Arial"/>
                  </a:defRPr>
                </a:pPr>
                <a:r>
                  <a:rPr lang="en-AU"/>
                  <a:t>X</a:t>
                </a:r>
              </a:p>
            </c:rich>
          </c:tx>
          <c:layout>
            <c:manualLayout>
              <c:xMode val="edge"/>
              <c:yMode val="edge"/>
              <c:x val="0.50992075842497286"/>
              <c:y val="0.8664321019862786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max val="3.5"/>
          <c:min val="-3.5"/>
        </c:scaling>
        <c:delete val="0"/>
        <c:axPos val="l"/>
        <c:majorGridlines>
          <c:spPr>
            <a:ln w="3175">
              <a:solidFill>
                <a:srgbClr val="CCCCFF"/>
              </a:solidFill>
              <a:prstDash val="sysDash"/>
            </a:ln>
          </c:spPr>
        </c:majorGridlines>
        <c:title>
          <c:tx>
            <c:rich>
              <a:bodyPr/>
              <a:lstStyle/>
              <a:p>
                <a:pPr>
                  <a:defRPr sz="850" b="0" i="0" u="none" strike="noStrike" baseline="0">
                    <a:solidFill>
                      <a:srgbClr val="000000"/>
                    </a:solidFill>
                    <a:latin typeface="Arial"/>
                    <a:ea typeface="Arial"/>
                    <a:cs typeface="Arial"/>
                  </a:defRPr>
                </a:pPr>
                <a:r>
                  <a:rPr lang="en-AU"/>
                  <a:t>Y</a:t>
                </a:r>
              </a:p>
            </c:rich>
          </c:tx>
          <c:layout>
            <c:manualLayout>
              <c:xMode val="edge"/>
              <c:yMode val="edge"/>
              <c:x val="2.7777784505640547E-2"/>
              <c:y val="0.523469394950043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03911048"/>
        <c:crosses val="autoZero"/>
        <c:crossBetween val="midCat"/>
      </c:valAx>
      <c:spPr>
        <a:noFill/>
        <a:ln w="25400">
          <a:noFill/>
        </a:ln>
      </c:spPr>
    </c:plotArea>
    <c:plotVisOnly val="1"/>
    <c:dispBlanksAs val="gap"/>
    <c:showDLblsOverMax val="0"/>
  </c:chart>
  <c:spPr>
    <a:gradFill rotWithShape="0">
      <a:gsLst>
        <a:gs pos="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65"/>
        </a:gs>
      </a:gsLst>
      <a:lin ang="5400000" scaled="1"/>
    </a:gra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trlProps/ctrlProp1.xml><?xml version="1.0" encoding="utf-8"?>
<formControlPr xmlns="http://schemas.microsoft.com/office/spreadsheetml/2009/9/main" objectType="CheckBox" checked="Checked" fmlaLink="$O$22" lockText="1" noThreeD="1"/>
</file>

<file path=xl/ctrlProps/ctrlProp10.xml><?xml version="1.0" encoding="utf-8"?>
<formControlPr xmlns="http://schemas.microsoft.com/office/spreadsheetml/2009/9/main" objectType="CheckBox" checked="Checked" fmlaLink="$C$28" lockText="1" noThreeD="1"/>
</file>

<file path=xl/ctrlProps/ctrlProp11.xml><?xml version="1.0" encoding="utf-8"?>
<formControlPr xmlns="http://schemas.microsoft.com/office/spreadsheetml/2009/9/main" objectType="CheckBox" checked="Checked" fmlaLink="$C$29" lockText="1" noThreeD="1"/>
</file>

<file path=xl/ctrlProps/ctrlProp12.xml><?xml version="1.0" encoding="utf-8"?>
<formControlPr xmlns="http://schemas.microsoft.com/office/spreadsheetml/2009/9/main" objectType="CheckBox" fmlaLink="$C$31" lockText="1" noThreeD="1"/>
</file>

<file path=xl/ctrlProps/ctrlProp13.xml><?xml version="1.0" encoding="utf-8"?>
<formControlPr xmlns="http://schemas.microsoft.com/office/spreadsheetml/2009/9/main" objectType="CheckBox" fmlaLink="$D$57" lockText="1" noThreeD="1"/>
</file>

<file path=xl/ctrlProps/ctrlProp14.xml><?xml version="1.0" encoding="utf-8"?>
<formControlPr xmlns="http://schemas.microsoft.com/office/spreadsheetml/2009/9/main" objectType="Drop" dropLines="6" dropStyle="combo" dx="31" fmlaLink="$M$20" fmlaRange="$D$18:$D$23" noThreeD="1" sel="2" val="0"/>
</file>

<file path=xl/ctrlProps/ctrlProp2.xml><?xml version="1.0" encoding="utf-8"?>
<formControlPr xmlns="http://schemas.microsoft.com/office/spreadsheetml/2009/9/main" objectType="CheckBox" fmlaLink="$H$31" lockText="1" noThreeD="1"/>
</file>

<file path=xl/ctrlProps/ctrlProp3.xml><?xml version="1.0" encoding="utf-8"?>
<formControlPr xmlns="http://schemas.microsoft.com/office/spreadsheetml/2009/9/main" objectType="CheckBox" fmlaLink="$G$61" lockText="1" noThreeD="1"/>
</file>

<file path=xl/ctrlProps/ctrlProp4.xml><?xml version="1.0" encoding="utf-8"?>
<formControlPr xmlns="http://schemas.microsoft.com/office/spreadsheetml/2009/9/main" objectType="Drop" dropStyle="combo" dx="31" fmlaLink="Ranking_calcs!$F$2" fmlaRange="Ranking_calcs!$G$2:$G$4" noThreeD="1" sel="2" val="0"/>
</file>

<file path=xl/ctrlProps/ctrlProp5.xml><?xml version="1.0" encoding="utf-8"?>
<formControlPr xmlns="http://schemas.microsoft.com/office/spreadsheetml/2009/9/main" objectType="Radio" checked="Checked" firstButton="1" fmlaLink="Ranking_calcs!$F$3"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CheckBox" checked="Checked" fmlaLink="seasonalising_calcs!$P$13" lockText="1" noThreeD="1"/>
</file>

<file path=xl/ctrlProps/ctrlProp8.xml><?xml version="1.0" encoding="utf-8"?>
<formControlPr xmlns="http://schemas.microsoft.com/office/spreadsheetml/2009/9/main" objectType="CheckBox" checked="Checked" fmlaLink="seasonalising_calcs!$P$14" lockText="1" noThreeD="1"/>
</file>

<file path=xl/ctrlProps/ctrlProp9.xml><?xml version="1.0" encoding="utf-8"?>
<formControlPr xmlns="http://schemas.microsoft.com/office/spreadsheetml/2009/9/main" objectType="CheckBox" checked="Checked" fmlaLink="$C$27" lockText="1" noThreeD="1"/>
</file>

<file path=xl/drawings/_rels/drawing1.xml.rels><?xml version="1.0" encoding="UTF-8" standalone="yes"?>
<Relationships xmlns="http://schemas.openxmlformats.org/package/2006/relationships"><Relationship Id="rId3" Type="http://schemas.openxmlformats.org/officeDocument/2006/relationships/hyperlink" Target="#hh_Index"/><Relationship Id="rId2" Type="http://schemas.openxmlformats.org/officeDocument/2006/relationships/image" Target="../media/image1.png"/><Relationship Id="rId1" Type="http://schemas.openxmlformats.org/officeDocument/2006/relationships/hyperlink" Target="#hh_index"/></Relationships>
</file>

<file path=xl/drawings/_rels/drawing10.xml.rels><?xml version="1.0" encoding="UTF-8" standalone="yes"?>
<Relationships xmlns="http://schemas.openxmlformats.org/package/2006/relationships"><Relationship Id="rId3" Type="http://schemas.openxmlformats.org/officeDocument/2006/relationships/hyperlink" Target="#hh_Interpolating"/><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Prioritising"/></Relationships>
</file>

<file path=xl/drawings/_rels/drawing11.xml.rels><?xml version="1.0" encoding="UTF-8" standalone="yes"?>
<Relationships xmlns="http://schemas.openxmlformats.org/package/2006/relationships"><Relationship Id="rId3" Type="http://schemas.openxmlformats.org/officeDocument/2006/relationships/hyperlink" Target="#hh_index"/><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hh_Ranking"/><Relationship Id="rId5" Type="http://schemas.openxmlformats.org/officeDocument/2006/relationships/hyperlink" Target="#hh_Looking_Up"/><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3.xml"/><Relationship Id="rId5" Type="http://schemas.openxmlformats.org/officeDocument/2006/relationships/hyperlink" Target="#hh_Rounding"/><Relationship Id="rId4" Type="http://schemas.openxmlformats.org/officeDocument/2006/relationships/hyperlink" Target="#hh_Prioritising"/></Relationships>
</file>

<file path=xl/drawings/_rels/drawing13.xml.rels><?xml version="1.0" encoding="UTF-8" standalone="yes"?>
<Relationships xmlns="http://schemas.openxmlformats.org/package/2006/relationships"><Relationship Id="rId3" Type="http://schemas.openxmlformats.org/officeDocument/2006/relationships/hyperlink" Target="#hh_Ranking"/><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Scenario_Analysi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4.xml"/><Relationship Id="rId5" Type="http://schemas.openxmlformats.org/officeDocument/2006/relationships/hyperlink" Target="#hh_Scheduling"/><Relationship Id="rId4" Type="http://schemas.openxmlformats.org/officeDocument/2006/relationships/hyperlink" Target="#hh_Roundi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hyperlink" Target="#hh_Scenario_Analysing"/><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Seasonalising"/></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5.xml"/><Relationship Id="rId5" Type="http://schemas.openxmlformats.org/officeDocument/2006/relationships/hyperlink" Target="#hh_Sensitising_Value"/><Relationship Id="rId4" Type="http://schemas.openxmlformats.org/officeDocument/2006/relationships/hyperlink" Target="#hh_Schedulin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6.xml"/><Relationship Id="rId5" Type="http://schemas.openxmlformats.org/officeDocument/2006/relationships/hyperlink" Target="#hh_Valuing_Option"/><Relationship Id="rId4" Type="http://schemas.openxmlformats.org/officeDocument/2006/relationships/hyperlink" Target="#hh_Seasonalisi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7.xml"/><Relationship Id="rId5" Type="http://schemas.openxmlformats.org/officeDocument/2006/relationships/hyperlink" Target="#hh_VB"/><Relationship Id="rId4" Type="http://schemas.openxmlformats.org/officeDocument/2006/relationships/hyperlink" Target="#hh_Sensitising_Value"/></Relationships>
</file>

<file path=xl/drawings/_rels/drawing2.xml.rels><?xml version="1.0" encoding="UTF-8" standalone="yes"?>
<Relationships xmlns="http://schemas.openxmlformats.org/package/2006/relationships"><Relationship Id="rId2" Type="http://schemas.openxmlformats.org/officeDocument/2006/relationships/hyperlink" Target="#hh_Aggregating"/><Relationship Id="rId1" Type="http://schemas.openxmlformats.org/officeDocument/2006/relationships/hyperlink" Target="#hh_About"/></Relationships>
</file>

<file path=xl/drawings/_rels/drawing20.xml.rels><?xml version="1.0" encoding="UTF-8" standalone="yes"?>
<Relationships xmlns="http://schemas.openxmlformats.org/package/2006/relationships"><Relationship Id="rId3" Type="http://schemas.openxmlformats.org/officeDocument/2006/relationships/hyperlink" Target="#hh_Valuing_Option"/><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xref"/></Relationships>
</file>

<file path=xl/drawings/_rels/drawing21.xml.rels><?xml version="1.0" encoding="UTF-8" standalone="yes"?>
<Relationships xmlns="http://schemas.openxmlformats.org/package/2006/relationships"><Relationship Id="rId3" Type="http://schemas.openxmlformats.org/officeDocument/2006/relationships/hyperlink" Target="#hh_VB"/><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ABS"/></Relationships>
</file>

<file path=xl/drawings/_rels/drawing22.xml.rels><?xml version="1.0" encoding="UTF-8" standalone="yes"?>
<Relationships xmlns="http://schemas.openxmlformats.org/package/2006/relationships"><Relationship Id="rId3" Type="http://schemas.openxmlformats.org/officeDocument/2006/relationships/hyperlink" Target="#hh_xref"/><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AND"/></Relationships>
</file>

<file path=xl/drawings/_rels/drawing23.xml.rels><?xml version="1.0" encoding="UTF-8" standalone="yes"?>
<Relationships xmlns="http://schemas.openxmlformats.org/package/2006/relationships"><Relationship Id="rId3" Type="http://schemas.openxmlformats.org/officeDocument/2006/relationships/hyperlink" Target="#hh_fn_ABS"/><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AVERAGE"/></Relationships>
</file>

<file path=xl/drawings/_rels/drawing24.xml.rels><?xml version="1.0" encoding="UTF-8" standalone="yes"?>
<Relationships xmlns="http://schemas.openxmlformats.org/package/2006/relationships"><Relationship Id="rId3" Type="http://schemas.openxmlformats.org/officeDocument/2006/relationships/hyperlink" Target="#hh_fn_AND"/><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CHOOSE"/></Relationships>
</file>

<file path=xl/drawings/_rels/drawing25.xml.rels><?xml version="1.0" encoding="UTF-8" standalone="yes"?>
<Relationships xmlns="http://schemas.openxmlformats.org/package/2006/relationships"><Relationship Id="rId3" Type="http://schemas.openxmlformats.org/officeDocument/2006/relationships/hyperlink" Target="#hh_fn_AVERAGE"/><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COUNT"/></Relationships>
</file>

<file path=xl/drawings/_rels/drawing26.xml.rels><?xml version="1.0" encoding="UTF-8" standalone="yes"?>
<Relationships xmlns="http://schemas.openxmlformats.org/package/2006/relationships"><Relationship Id="rId3" Type="http://schemas.openxmlformats.org/officeDocument/2006/relationships/hyperlink" Target="#hh_fn_CHOOSE"/><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COUNTIF"/></Relationships>
</file>

<file path=xl/drawings/_rels/drawing27.xml.rels><?xml version="1.0" encoding="UTF-8" standalone="yes"?>
<Relationships xmlns="http://schemas.openxmlformats.org/package/2006/relationships"><Relationship Id="rId3" Type="http://schemas.openxmlformats.org/officeDocument/2006/relationships/hyperlink" Target="#hh_fn_COUNT"/><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IF"/></Relationships>
</file>

<file path=xl/drawings/_rels/drawing28.xml.rels><?xml version="1.0" encoding="UTF-8" standalone="yes"?>
<Relationships xmlns="http://schemas.openxmlformats.org/package/2006/relationships"><Relationship Id="rId3" Type="http://schemas.openxmlformats.org/officeDocument/2006/relationships/hyperlink" Target="#hh_fn_COUNTIF"/><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ISNA"/></Relationships>
</file>

<file path=xl/drawings/_rels/drawing29.xml.rels><?xml version="1.0" encoding="UTF-8" standalone="yes"?>
<Relationships xmlns="http://schemas.openxmlformats.org/package/2006/relationships"><Relationship Id="rId3" Type="http://schemas.openxmlformats.org/officeDocument/2006/relationships/hyperlink" Target="#hh_fn_IF"/><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LARGE"/></Relationships>
</file>

<file path=xl/drawings/_rels/drawing3.xml.rels><?xml version="1.0" encoding="UTF-8" standalone="yes"?>
<Relationships xmlns="http://schemas.openxmlformats.org/package/2006/relationships"><Relationship Id="rId3" Type="http://schemas.openxmlformats.org/officeDocument/2006/relationships/hyperlink" Target="#hh_Index"/><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Averaging"/></Relationships>
</file>

<file path=xl/drawings/_rels/drawing30.xml.rels><?xml version="1.0" encoding="UTF-8" standalone="yes"?>
<Relationships xmlns="http://schemas.openxmlformats.org/package/2006/relationships"><Relationship Id="rId3" Type="http://schemas.openxmlformats.org/officeDocument/2006/relationships/hyperlink" Target="#hh_fn_ISNA"/><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LEFT"/></Relationships>
</file>

<file path=xl/drawings/_rels/drawing31.xml.rels><?xml version="1.0" encoding="UTF-8" standalone="yes"?>
<Relationships xmlns="http://schemas.openxmlformats.org/package/2006/relationships"><Relationship Id="rId3" Type="http://schemas.openxmlformats.org/officeDocument/2006/relationships/hyperlink" Target="#hh_fn_LARGE"/><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LOOKUP"/></Relationships>
</file>

<file path=xl/drawings/_rels/drawing32.xml.rels><?xml version="1.0" encoding="UTF-8" standalone="yes"?>
<Relationships xmlns="http://schemas.openxmlformats.org/package/2006/relationships"><Relationship Id="rId3" Type="http://schemas.openxmlformats.org/officeDocument/2006/relationships/hyperlink" Target="#hh_fn_LEFT"/><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MATCH"/></Relationships>
</file>

<file path=xl/drawings/_rels/drawing33.xml.rels><?xml version="1.0" encoding="UTF-8" standalone="yes"?>
<Relationships xmlns="http://schemas.openxmlformats.org/package/2006/relationships"><Relationship Id="rId3" Type="http://schemas.openxmlformats.org/officeDocument/2006/relationships/hyperlink" Target="#hh_fn_LOOKUP"/><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MAX"/></Relationships>
</file>

<file path=xl/drawings/_rels/drawing34.xml.rels><?xml version="1.0" encoding="UTF-8" standalone="yes"?>
<Relationships xmlns="http://schemas.openxmlformats.org/package/2006/relationships"><Relationship Id="rId3" Type="http://schemas.openxmlformats.org/officeDocument/2006/relationships/hyperlink" Target="#hh_fn_MATCH"/><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OFFSET"/></Relationships>
</file>

<file path=xl/drawings/_rels/drawing3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8.xml"/><Relationship Id="rId5" Type="http://schemas.openxmlformats.org/officeDocument/2006/relationships/hyperlink" Target="#hh_fn_SUM"/><Relationship Id="rId4" Type="http://schemas.openxmlformats.org/officeDocument/2006/relationships/hyperlink" Target="#hh_fn_MAX"/></Relationships>
</file>

<file path=xl/drawings/_rels/drawing36.xml.rels><?xml version="1.0" encoding="UTF-8" standalone="yes"?>
<Relationships xmlns="http://schemas.openxmlformats.org/package/2006/relationships"><Relationship Id="rId3" Type="http://schemas.openxmlformats.org/officeDocument/2006/relationships/hyperlink" Target="#hh_fn_OFFSET"/><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SUMPRODUCT"/></Relationships>
</file>

<file path=xl/drawings/_rels/drawing37.xml.rels><?xml version="1.0" encoding="UTF-8" standalone="yes"?>
<Relationships xmlns="http://schemas.openxmlformats.org/package/2006/relationships"><Relationship Id="rId3" Type="http://schemas.openxmlformats.org/officeDocument/2006/relationships/hyperlink" Target="#hh_fn_SUM"/><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n_VLOOKUP"/></Relationships>
</file>

<file path=xl/drawings/_rels/drawing38.xml.rels><?xml version="1.0" encoding="UTF-8" standalone="yes"?>
<Relationships xmlns="http://schemas.openxmlformats.org/package/2006/relationships"><Relationship Id="rId3" Type="http://schemas.openxmlformats.org/officeDocument/2006/relationships/hyperlink" Target="#hh_fn_SUMPRODUCT"/><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Combine_1"/></Relationships>
</file>

<file path=xl/drawings/_rels/drawing39.xml.rels><?xml version="1.0" encoding="UTF-8" standalone="yes"?>
<Relationships xmlns="http://schemas.openxmlformats.org/package/2006/relationships"><Relationship Id="rId3" Type="http://schemas.openxmlformats.org/officeDocument/2006/relationships/hyperlink" Target="#hh_fn_VLOOKUP"/><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Combine_2"/></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xml"/><Relationship Id="rId5" Type="http://schemas.openxmlformats.org/officeDocument/2006/relationships/hyperlink" Target="#hh_Charting"/><Relationship Id="rId4" Type="http://schemas.openxmlformats.org/officeDocument/2006/relationships/hyperlink" Target="#hh_Aggregating"/></Relationships>
</file>

<file path=xl/drawings/_rels/drawing40.xml.rels><?xml version="1.0" encoding="UTF-8" standalone="yes"?>
<Relationships xmlns="http://schemas.openxmlformats.org/package/2006/relationships"><Relationship Id="rId3" Type="http://schemas.openxmlformats.org/officeDocument/2006/relationships/hyperlink" Target="#hh_Combine_1"/><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Combine_3"/></Relationships>
</file>

<file path=xl/drawings/_rels/drawing41.xml.rels><?xml version="1.0" encoding="UTF-8" standalone="yes"?>
<Relationships xmlns="http://schemas.openxmlformats.org/package/2006/relationships"><Relationship Id="rId3" Type="http://schemas.openxmlformats.org/officeDocument/2006/relationships/hyperlink" Target="#hh_Combine_2"/><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Combine_4"/></Relationships>
</file>

<file path=xl/drawings/_rels/drawing42.xml.rels><?xml version="1.0" encoding="UTF-8" standalone="yes"?>
<Relationships xmlns="http://schemas.openxmlformats.org/package/2006/relationships"><Relationship Id="rId3" Type="http://schemas.openxmlformats.org/officeDocument/2006/relationships/hyperlink" Target="#hh_Combine_3"/><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Ex_1"/></Relationships>
</file>

<file path=xl/drawings/_rels/drawing43.xml.rels><?xml version="1.0" encoding="UTF-8" standalone="yes"?>
<Relationships xmlns="http://schemas.openxmlformats.org/package/2006/relationships"><Relationship Id="rId3" Type="http://schemas.openxmlformats.org/officeDocument/2006/relationships/hyperlink" Target="#hh_Combine_4"/><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Ex_3"/></Relationships>
</file>

<file path=xl/drawings/_rels/drawing44.xml.rels><?xml version="1.0" encoding="UTF-8" standalone="yes"?>
<Relationships xmlns="http://schemas.openxmlformats.org/package/2006/relationships"><Relationship Id="rId3" Type="http://schemas.openxmlformats.org/officeDocument/2006/relationships/hyperlink" Target="#hh_Ex_1"/><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Ex_Acc_Bal"/></Relationships>
</file>

<file path=xl/drawings/_rels/drawing45.xml.rels><?xml version="1.0" encoding="UTF-8" standalone="yes"?>
<Relationships xmlns="http://schemas.openxmlformats.org/package/2006/relationships"><Relationship Id="rId3" Type="http://schemas.openxmlformats.org/officeDocument/2006/relationships/hyperlink" Target="#hh_Ex_3"/><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Ex_2"/></Relationships>
</file>

<file path=xl/drawings/_rels/drawing4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h_index"/><Relationship Id="rId1" Type="http://schemas.openxmlformats.org/officeDocument/2006/relationships/chart" Target="../charts/chart19.xml"/><Relationship Id="rId5" Type="http://schemas.openxmlformats.org/officeDocument/2006/relationships/hyperlink" Target="#hh_Ex_4"/><Relationship Id="rId4" Type="http://schemas.openxmlformats.org/officeDocument/2006/relationships/hyperlink" Target="#hh_Ex_Acc_Bal"/></Relationships>
</file>

<file path=xl/drawings/_rels/drawing47.xml.rels><?xml version="1.0" encoding="UTF-8" standalone="yes"?>
<Relationships xmlns="http://schemas.openxmlformats.org/package/2006/relationships"><Relationship Id="rId3" Type="http://schemas.openxmlformats.org/officeDocument/2006/relationships/hyperlink" Target="#hh_Ex_2"/><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Ex_Status"/></Relationships>
</file>

<file path=xl/drawings/_rels/drawing48.xml.rels><?xml version="1.0" encoding="UTF-8" standalone="yes"?>
<Relationships xmlns="http://schemas.openxmlformats.org/package/2006/relationships"><Relationship Id="rId3" Type="http://schemas.openxmlformats.org/officeDocument/2006/relationships/hyperlink" Target="#hh_Ex_4"/><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Next"/></Relationships>
</file>

<file path=xl/drawings/_rels/drawing49.xml.rels><?xml version="1.0" encoding="UTF-8" standalone="yes"?>
<Relationships xmlns="http://schemas.openxmlformats.org/package/2006/relationships"><Relationship Id="rId3" Type="http://schemas.openxmlformats.org/officeDocument/2006/relationships/hyperlink" Target="#hh_Ex_Status"/><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Indexx"/></Relationships>
</file>

<file path=xl/drawings/_rels/drawing5.xml.rels><?xml version="1.0" encoding="UTF-8" standalone="yes"?>
<Relationships xmlns="http://schemas.openxmlformats.org/package/2006/relationships"><Relationship Id="rId3" Type="http://schemas.openxmlformats.org/officeDocument/2006/relationships/hyperlink" Target="#hh_index"/><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hyperlink" Target="#hh_Highlighting"/><Relationship Id="rId5" Type="http://schemas.openxmlformats.org/officeDocument/2006/relationships/hyperlink" Target="#hh_Averaging"/><Relationship Id="rId4"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hyperlink" Target="#hh_Next"/><Relationship Id="rId2" Type="http://schemas.openxmlformats.org/officeDocument/2006/relationships/image" Target="../media/image1.png"/><Relationship Id="rId1" Type="http://schemas.openxmlformats.org/officeDocument/2006/relationships/hyperlink" Target="#hh_index"/></Relationships>
</file>

<file path=xl/drawings/_rels/drawing5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hyperlink" Target="#hh_Charting"/><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Filtering"/></Relationships>
</file>

<file path=xl/drawings/_rels/drawing7.xml.rels><?xml version="1.0" encoding="UTF-8" standalone="yes"?>
<Relationships xmlns="http://schemas.openxmlformats.org/package/2006/relationships"><Relationship Id="rId3" Type="http://schemas.openxmlformats.org/officeDocument/2006/relationships/hyperlink" Target="#hh_Highlighting"/><Relationship Id="rId2" Type="http://schemas.openxmlformats.org/officeDocument/2006/relationships/image" Target="../media/image1.png"/><Relationship Id="rId1" Type="http://schemas.openxmlformats.org/officeDocument/2006/relationships/hyperlink" Target="#hh_index"/><Relationship Id="rId4" Type="http://schemas.openxmlformats.org/officeDocument/2006/relationships/hyperlink" Target="#hh_RateSensitising"/></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hyperlink" Target="#hh_Interpolatin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hh_Filtering"/><Relationship Id="rId5" Type="http://schemas.openxmlformats.org/officeDocument/2006/relationships/image" Target="../media/image1.png"/><Relationship Id="rId4" Type="http://schemas.openxmlformats.org/officeDocument/2006/relationships/hyperlink" Target="#hh_index"/></Relationships>
</file>

<file path=xl/drawings/_rels/drawing9.xml.rels><?xml version="1.0" encoding="UTF-8" standalone="yes"?>
<Relationships xmlns="http://schemas.openxmlformats.org/package/2006/relationships"><Relationship Id="rId8" Type="http://schemas.openxmlformats.org/officeDocument/2006/relationships/hyperlink" Target="#hh_Looking_Up"/><Relationship Id="rId3" Type="http://schemas.openxmlformats.org/officeDocument/2006/relationships/chart" Target="../charts/chart9.xml"/><Relationship Id="rId7" Type="http://schemas.openxmlformats.org/officeDocument/2006/relationships/hyperlink" Target="#hh_RateSensitising"/><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image" Target="../media/image1.png"/><Relationship Id="rId5" Type="http://schemas.openxmlformats.org/officeDocument/2006/relationships/hyperlink" Target="#hh_index"/><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9</xdr:col>
      <xdr:colOff>279400</xdr:colOff>
      <xdr:row>0</xdr:row>
      <xdr:rowOff>25400</xdr:rowOff>
    </xdr:from>
    <xdr:to>
      <xdr:col>10</xdr:col>
      <xdr:colOff>330200</xdr:colOff>
      <xdr:row>1</xdr:row>
      <xdr:rowOff>76200</xdr:rowOff>
    </xdr:to>
    <xdr:pic>
      <xdr:nvPicPr>
        <xdr:cNvPr id="24867" name="hyper_index_1">
          <a:hlinkClick xmlns:r="http://schemas.openxmlformats.org/officeDocument/2006/relationships" r:id="rId1"/>
          <a:extLst>
            <a:ext uri="{FF2B5EF4-FFF2-40B4-BE49-F238E27FC236}">
              <a16:creationId xmlns:a16="http://schemas.microsoft.com/office/drawing/2014/main" id="{00000000-0008-0000-0000-0000236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941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609600</xdr:colOff>
      <xdr:row>0</xdr:row>
      <xdr:rowOff>44450</xdr:rowOff>
    </xdr:from>
    <xdr:to>
      <xdr:col>16</xdr:col>
      <xdr:colOff>31750</xdr:colOff>
      <xdr:row>1</xdr:row>
      <xdr:rowOff>114300</xdr:rowOff>
    </xdr:to>
    <xdr:sp macro="" textlink="">
      <xdr:nvSpPr>
        <xdr:cNvPr id="24868" name="right_arrow_1">
          <a:hlinkClick xmlns:r="http://schemas.openxmlformats.org/officeDocument/2006/relationships" r:id="rId3"/>
          <a:extLst>
            <a:ext uri="{FF2B5EF4-FFF2-40B4-BE49-F238E27FC236}">
              <a16:creationId xmlns:a16="http://schemas.microsoft.com/office/drawing/2014/main" id="{00000000-0008-0000-0000-000024610000}"/>
            </a:ext>
          </a:extLst>
        </xdr:cNvPr>
        <xdr:cNvSpPr>
          <a:spLocks noChangeArrowheads="1"/>
        </xdr:cNvSpPr>
      </xdr:nvSpPr>
      <xdr:spPr bwMode="auto">
        <a:xfrm>
          <a:off x="82677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609600</xdr:colOff>
      <xdr:row>75</xdr:row>
      <xdr:rowOff>107950</xdr:rowOff>
    </xdr:from>
    <xdr:to>
      <xdr:col>16</xdr:col>
      <xdr:colOff>31750</xdr:colOff>
      <xdr:row>77</xdr:row>
      <xdr:rowOff>6350</xdr:rowOff>
    </xdr:to>
    <xdr:sp macro="" textlink="">
      <xdr:nvSpPr>
        <xdr:cNvPr id="24869" name="right_arrow_1_1">
          <a:hlinkClick xmlns:r="http://schemas.openxmlformats.org/officeDocument/2006/relationships" r:id="rId3"/>
          <a:extLst>
            <a:ext uri="{FF2B5EF4-FFF2-40B4-BE49-F238E27FC236}">
              <a16:creationId xmlns:a16="http://schemas.microsoft.com/office/drawing/2014/main" id="{00000000-0008-0000-0000-000025610000}"/>
            </a:ext>
          </a:extLst>
        </xdr:cNvPr>
        <xdr:cNvSpPr>
          <a:spLocks noChangeArrowheads="1"/>
        </xdr:cNvSpPr>
      </xdr:nvSpPr>
      <xdr:spPr bwMode="auto">
        <a:xfrm>
          <a:off x="8267700" y="11220450"/>
          <a:ext cx="222250" cy="215900"/>
        </a:xfrm>
        <a:prstGeom prst="rightArrow">
          <a:avLst>
            <a:gd name="adj1" fmla="val 50000"/>
            <a:gd name="adj2" fmla="val 25735"/>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908050</xdr:colOff>
      <xdr:row>0</xdr:row>
      <xdr:rowOff>25400</xdr:rowOff>
    </xdr:from>
    <xdr:to>
      <xdr:col>9</xdr:col>
      <xdr:colOff>387350</xdr:colOff>
      <xdr:row>1</xdr:row>
      <xdr:rowOff>76200</xdr:rowOff>
    </xdr:to>
    <xdr:pic>
      <xdr:nvPicPr>
        <xdr:cNvPr id="12606" name="hyper_index_10">
          <a:hlinkClick xmlns:r="http://schemas.openxmlformats.org/officeDocument/2006/relationships" r:id="rId1"/>
          <a:extLst>
            <a:ext uri="{FF2B5EF4-FFF2-40B4-BE49-F238E27FC236}">
              <a16:creationId xmlns:a16="http://schemas.microsoft.com/office/drawing/2014/main" id="{00000000-0008-0000-0D00-00003E3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12607" name="left_arrow_10">
          <a:hlinkClick xmlns:r="http://schemas.openxmlformats.org/officeDocument/2006/relationships" r:id="rId3"/>
          <a:extLst>
            <a:ext uri="{FF2B5EF4-FFF2-40B4-BE49-F238E27FC236}">
              <a16:creationId xmlns:a16="http://schemas.microsoft.com/office/drawing/2014/main" id="{00000000-0008-0000-0D00-00003F31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48</xdr:row>
      <xdr:rowOff>101600</xdr:rowOff>
    </xdr:from>
    <xdr:to>
      <xdr:col>2</xdr:col>
      <xdr:colOff>241300</xdr:colOff>
      <xdr:row>50</xdr:row>
      <xdr:rowOff>6350</xdr:rowOff>
    </xdr:to>
    <xdr:sp macro="" textlink="">
      <xdr:nvSpPr>
        <xdr:cNvPr id="12608" name="left_arrow_1_10">
          <a:hlinkClick xmlns:r="http://schemas.openxmlformats.org/officeDocument/2006/relationships" r:id="rId3"/>
          <a:extLst>
            <a:ext uri="{FF2B5EF4-FFF2-40B4-BE49-F238E27FC236}">
              <a16:creationId xmlns:a16="http://schemas.microsoft.com/office/drawing/2014/main" id="{00000000-0008-0000-0D00-000040310000}"/>
            </a:ext>
          </a:extLst>
        </xdr:cNvPr>
        <xdr:cNvSpPr>
          <a:spLocks noChangeArrowheads="1"/>
        </xdr:cNvSpPr>
      </xdr:nvSpPr>
      <xdr:spPr bwMode="auto">
        <a:xfrm rot="10800000">
          <a:off x="158750" y="78041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406400</xdr:colOff>
      <xdr:row>0</xdr:row>
      <xdr:rowOff>44450</xdr:rowOff>
    </xdr:from>
    <xdr:to>
      <xdr:col>16</xdr:col>
      <xdr:colOff>31750</xdr:colOff>
      <xdr:row>1</xdr:row>
      <xdr:rowOff>114300</xdr:rowOff>
    </xdr:to>
    <xdr:sp macro="" textlink="">
      <xdr:nvSpPr>
        <xdr:cNvPr id="12609" name="right_arrow_10">
          <a:hlinkClick xmlns:r="http://schemas.openxmlformats.org/officeDocument/2006/relationships" r:id="rId4"/>
          <a:extLst>
            <a:ext uri="{FF2B5EF4-FFF2-40B4-BE49-F238E27FC236}">
              <a16:creationId xmlns:a16="http://schemas.microsoft.com/office/drawing/2014/main" id="{00000000-0008-0000-0D00-000041310000}"/>
            </a:ext>
          </a:extLst>
        </xdr:cNvPr>
        <xdr:cNvSpPr>
          <a:spLocks noChangeArrowheads="1"/>
        </xdr:cNvSpPr>
      </xdr:nvSpPr>
      <xdr:spPr bwMode="auto">
        <a:xfrm>
          <a:off x="82677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406400</xdr:colOff>
      <xdr:row>48</xdr:row>
      <xdr:rowOff>101600</xdr:rowOff>
    </xdr:from>
    <xdr:to>
      <xdr:col>16</xdr:col>
      <xdr:colOff>31750</xdr:colOff>
      <xdr:row>50</xdr:row>
      <xdr:rowOff>6350</xdr:rowOff>
    </xdr:to>
    <xdr:sp macro="" textlink="">
      <xdr:nvSpPr>
        <xdr:cNvPr id="12610" name="right_arrow_1_10">
          <a:hlinkClick xmlns:r="http://schemas.openxmlformats.org/officeDocument/2006/relationships" r:id="rId4"/>
          <a:extLst>
            <a:ext uri="{FF2B5EF4-FFF2-40B4-BE49-F238E27FC236}">
              <a16:creationId xmlns:a16="http://schemas.microsoft.com/office/drawing/2014/main" id="{00000000-0008-0000-0D00-000042310000}"/>
            </a:ext>
          </a:extLst>
        </xdr:cNvPr>
        <xdr:cNvSpPr>
          <a:spLocks noChangeArrowheads="1"/>
        </xdr:cNvSpPr>
      </xdr:nvSpPr>
      <xdr:spPr bwMode="auto">
        <a:xfrm>
          <a:off x="8267700" y="78041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19050</xdr:colOff>
      <xdr:row>28</xdr:row>
      <xdr:rowOff>114300</xdr:rowOff>
    </xdr:from>
    <xdr:to>
      <xdr:col>12</xdr:col>
      <xdr:colOff>0</xdr:colOff>
      <xdr:row>47</xdr:row>
      <xdr:rowOff>76200</xdr:rowOff>
    </xdr:to>
    <xdr:graphicFrame macro="">
      <xdr:nvGraphicFramePr>
        <xdr:cNvPr id="19458" name="Chart 2">
          <a:extLst>
            <a:ext uri="{FF2B5EF4-FFF2-40B4-BE49-F238E27FC236}">
              <a16:creationId xmlns:a16="http://schemas.microsoft.com/office/drawing/2014/main" id="{00000000-0008-0000-0E00-0000024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82550</xdr:rowOff>
    </xdr:from>
    <xdr:to>
      <xdr:col>12</xdr:col>
      <xdr:colOff>0</xdr:colOff>
      <xdr:row>78</xdr:row>
      <xdr:rowOff>101600</xdr:rowOff>
    </xdr:to>
    <xdr:graphicFrame macro="">
      <xdr:nvGraphicFramePr>
        <xdr:cNvPr id="19459" name="Chart 3">
          <a:extLst>
            <a:ext uri="{FF2B5EF4-FFF2-40B4-BE49-F238E27FC236}">
              <a16:creationId xmlns:a16="http://schemas.microsoft.com/office/drawing/2014/main" id="{00000000-0008-0000-0E00-0000034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xdr:colOff>
      <xdr:row>31</xdr:row>
      <xdr:rowOff>57150</xdr:rowOff>
    </xdr:from>
    <xdr:to>
      <xdr:col>7</xdr:col>
      <xdr:colOff>247650</xdr:colOff>
      <xdr:row>32</xdr:row>
      <xdr:rowOff>120650</xdr:rowOff>
    </xdr:to>
    <xdr:sp macro="" textlink="">
      <xdr:nvSpPr>
        <xdr:cNvPr id="19460" name="Text Box 4">
          <a:extLst>
            <a:ext uri="{FF2B5EF4-FFF2-40B4-BE49-F238E27FC236}">
              <a16:creationId xmlns:a16="http://schemas.microsoft.com/office/drawing/2014/main" id="{00000000-0008-0000-0E00-0000044C0000}"/>
            </a:ext>
          </a:extLst>
        </xdr:cNvPr>
        <xdr:cNvSpPr txBox="1">
          <a:spLocks noChangeArrowheads="1"/>
        </xdr:cNvSpPr>
      </xdr:nvSpPr>
      <xdr:spPr bwMode="auto">
        <a:xfrm>
          <a:off x="4038600" y="4705350"/>
          <a:ext cx="215900" cy="222250"/>
        </a:xfrm>
        <a:prstGeom prst="rect">
          <a:avLst/>
        </a:prstGeom>
        <a:noFill/>
        <a:ln>
          <a:noFill/>
        </a:ln>
        <a:extLst>
          <a:ext uri="{909E8E84-426E-40DD-AFC4-6F175D3DCCD1}">
            <a14:hiddenFill xmlns:a14="http://schemas.microsoft.com/office/drawing/2010/main">
              <a:solidFill>
                <a:srgbClr val="FFFFCC"/>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000000"/>
              </a:solidFill>
              <a:latin typeface="Arial"/>
              <a:cs typeface="Arial"/>
            </a:rPr>
            <a:t>A</a:t>
          </a:r>
        </a:p>
      </xdr:txBody>
    </xdr:sp>
    <xdr:clientData/>
  </xdr:twoCellAnchor>
  <xdr:twoCellAnchor>
    <xdr:from>
      <xdr:col>6</xdr:col>
      <xdr:colOff>342900</xdr:colOff>
      <xdr:row>33</xdr:row>
      <xdr:rowOff>152400</xdr:rowOff>
    </xdr:from>
    <xdr:to>
      <xdr:col>6</xdr:col>
      <xdr:colOff>558800</xdr:colOff>
      <xdr:row>35</xdr:row>
      <xdr:rowOff>57150</xdr:rowOff>
    </xdr:to>
    <xdr:sp macro="" textlink="">
      <xdr:nvSpPr>
        <xdr:cNvPr id="19461" name="Text Box 5">
          <a:extLst>
            <a:ext uri="{FF2B5EF4-FFF2-40B4-BE49-F238E27FC236}">
              <a16:creationId xmlns:a16="http://schemas.microsoft.com/office/drawing/2014/main" id="{00000000-0008-0000-0E00-0000054C0000}"/>
            </a:ext>
          </a:extLst>
        </xdr:cNvPr>
        <xdr:cNvSpPr txBox="1">
          <a:spLocks noChangeArrowheads="1"/>
        </xdr:cNvSpPr>
      </xdr:nvSpPr>
      <xdr:spPr bwMode="auto">
        <a:xfrm>
          <a:off x="3619500" y="5118100"/>
          <a:ext cx="215900" cy="222250"/>
        </a:xfrm>
        <a:prstGeom prst="rect">
          <a:avLst/>
        </a:prstGeom>
        <a:noFill/>
        <a:ln>
          <a:noFill/>
        </a:ln>
        <a:extLst>
          <a:ext uri="{909E8E84-426E-40DD-AFC4-6F175D3DCCD1}">
            <a14:hiddenFill xmlns:a14="http://schemas.microsoft.com/office/drawing/2010/main">
              <a:solidFill>
                <a:srgbClr xmlns:mc="http://schemas.openxmlformats.org/markup-compatibility/2006" val="FFCC00" mc:Ignorable="a14" a14:legacySpreadsheetColorIndex="51"/>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000000"/>
              </a:solidFill>
              <a:latin typeface="Arial"/>
              <a:cs typeface="Arial"/>
            </a:rPr>
            <a:t>B</a:t>
          </a:r>
        </a:p>
      </xdr:txBody>
    </xdr:sp>
    <xdr:clientData/>
  </xdr:twoCellAnchor>
  <xdr:twoCellAnchor>
    <xdr:from>
      <xdr:col>6</xdr:col>
      <xdr:colOff>101600</xdr:colOff>
      <xdr:row>36</xdr:row>
      <xdr:rowOff>133350</xdr:rowOff>
    </xdr:from>
    <xdr:to>
      <xdr:col>6</xdr:col>
      <xdr:colOff>508000</xdr:colOff>
      <xdr:row>38</xdr:row>
      <xdr:rowOff>25400</xdr:rowOff>
    </xdr:to>
    <xdr:sp macro="" textlink="">
      <xdr:nvSpPr>
        <xdr:cNvPr id="19462" name="Text Box 6">
          <a:extLst>
            <a:ext uri="{FF2B5EF4-FFF2-40B4-BE49-F238E27FC236}">
              <a16:creationId xmlns:a16="http://schemas.microsoft.com/office/drawing/2014/main" id="{00000000-0008-0000-0E00-0000064C0000}"/>
            </a:ext>
          </a:extLst>
        </xdr:cNvPr>
        <xdr:cNvSpPr txBox="1">
          <a:spLocks noChangeArrowheads="1"/>
        </xdr:cNvSpPr>
      </xdr:nvSpPr>
      <xdr:spPr bwMode="auto">
        <a:xfrm>
          <a:off x="3378200" y="5575300"/>
          <a:ext cx="406400" cy="209550"/>
        </a:xfrm>
        <a:prstGeom prst="rect">
          <a:avLst/>
        </a:prstGeom>
        <a:noFill/>
        <a:ln>
          <a:noFill/>
        </a:ln>
        <a:extLst>
          <a:ext uri="{909E8E84-426E-40DD-AFC4-6F175D3DCCD1}">
            <a14:hiddenFill xmlns:a14="http://schemas.microsoft.com/office/drawing/2010/main">
              <a:solidFill>
                <a:srgbClr xmlns:mc="http://schemas.openxmlformats.org/markup-compatibility/2006" val="FF9900" mc:Ignorable="a14" a14:legacySpreadsheetColorIndex="52"/>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C</a:t>
          </a:r>
        </a:p>
      </xdr:txBody>
    </xdr:sp>
    <xdr:clientData/>
  </xdr:twoCellAnchor>
  <xdr:twoCellAnchor>
    <xdr:from>
      <xdr:col>5</xdr:col>
      <xdr:colOff>673100</xdr:colOff>
      <xdr:row>39</xdr:row>
      <xdr:rowOff>63500</xdr:rowOff>
    </xdr:from>
    <xdr:to>
      <xdr:col>6</xdr:col>
      <xdr:colOff>241300</xdr:colOff>
      <xdr:row>40</xdr:row>
      <xdr:rowOff>152400</xdr:rowOff>
    </xdr:to>
    <xdr:sp macro="" textlink="">
      <xdr:nvSpPr>
        <xdr:cNvPr id="19463" name="Text Box 7">
          <a:extLst>
            <a:ext uri="{FF2B5EF4-FFF2-40B4-BE49-F238E27FC236}">
              <a16:creationId xmlns:a16="http://schemas.microsoft.com/office/drawing/2014/main" id="{00000000-0008-0000-0E00-0000074C0000}"/>
            </a:ext>
          </a:extLst>
        </xdr:cNvPr>
        <xdr:cNvSpPr txBox="1">
          <a:spLocks noChangeArrowheads="1"/>
        </xdr:cNvSpPr>
      </xdr:nvSpPr>
      <xdr:spPr bwMode="auto">
        <a:xfrm>
          <a:off x="3219450" y="5981700"/>
          <a:ext cx="298450" cy="247650"/>
        </a:xfrm>
        <a:prstGeom prst="rect">
          <a:avLst/>
        </a:prstGeom>
        <a:noFill/>
        <a:ln>
          <a:noFill/>
        </a:ln>
        <a:extLst>
          <a:ext uri="{909E8E84-426E-40DD-AFC4-6F175D3DCCD1}">
            <a14:hiddenFill xmlns:a14="http://schemas.microsoft.com/office/drawing/2010/main">
              <a:solidFill>
                <a:srgbClr xmlns:mc="http://schemas.openxmlformats.org/markup-compatibility/2006" val="FF6600" mc:Ignorable="a14" a14:legacySpreadsheetColorIndex="5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D</a:t>
          </a:r>
        </a:p>
      </xdr:txBody>
    </xdr:sp>
    <xdr:clientData/>
  </xdr:twoCellAnchor>
  <xdr:twoCellAnchor>
    <xdr:from>
      <xdr:col>5</xdr:col>
      <xdr:colOff>590550</xdr:colOff>
      <xdr:row>42</xdr:row>
      <xdr:rowOff>133350</xdr:rowOff>
    </xdr:from>
    <xdr:to>
      <xdr:col>6</xdr:col>
      <xdr:colOff>152400</xdr:colOff>
      <xdr:row>44</xdr:row>
      <xdr:rowOff>57150</xdr:rowOff>
    </xdr:to>
    <xdr:sp macro="" textlink="">
      <xdr:nvSpPr>
        <xdr:cNvPr id="19464" name="Text Box 8">
          <a:extLst>
            <a:ext uri="{FF2B5EF4-FFF2-40B4-BE49-F238E27FC236}">
              <a16:creationId xmlns:a16="http://schemas.microsoft.com/office/drawing/2014/main" id="{00000000-0008-0000-0E00-0000084C0000}"/>
            </a:ext>
          </a:extLst>
        </xdr:cNvPr>
        <xdr:cNvSpPr txBox="1">
          <a:spLocks noChangeArrowheads="1"/>
        </xdr:cNvSpPr>
      </xdr:nvSpPr>
      <xdr:spPr bwMode="auto">
        <a:xfrm>
          <a:off x="3136900" y="6527800"/>
          <a:ext cx="292100" cy="241300"/>
        </a:xfrm>
        <a:prstGeom prst="rect">
          <a:avLst/>
        </a:prstGeom>
        <a:noFill/>
        <a:ln>
          <a:noFill/>
        </a:ln>
        <a:extLst>
          <a:ext uri="{909E8E84-426E-40DD-AFC4-6F175D3DCCD1}">
            <a14:hiddenFill xmlns:a14="http://schemas.microsoft.com/office/drawing/2010/main">
              <a:solidFill>
                <a:srgbClr xmlns:mc="http://schemas.openxmlformats.org/markup-compatibility/2006" val="993300" mc:Ignorable="a14" a14:legacySpreadsheetColorIndex="6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E</a:t>
          </a:r>
        </a:p>
      </xdr:txBody>
    </xdr:sp>
    <xdr:clientData/>
  </xdr:twoCellAnchor>
  <xdr:twoCellAnchor>
    <xdr:from>
      <xdr:col>5</xdr:col>
      <xdr:colOff>190500</xdr:colOff>
      <xdr:row>65</xdr:row>
      <xdr:rowOff>19050</xdr:rowOff>
    </xdr:from>
    <xdr:to>
      <xdr:col>5</xdr:col>
      <xdr:colOff>381000</xdr:colOff>
      <xdr:row>66</xdr:row>
      <xdr:rowOff>69850</xdr:rowOff>
    </xdr:to>
    <xdr:sp macro="" textlink="">
      <xdr:nvSpPr>
        <xdr:cNvPr id="19465" name="Text Box 9">
          <a:extLst>
            <a:ext uri="{FF2B5EF4-FFF2-40B4-BE49-F238E27FC236}">
              <a16:creationId xmlns:a16="http://schemas.microsoft.com/office/drawing/2014/main" id="{00000000-0008-0000-0E00-0000094C0000}"/>
            </a:ext>
          </a:extLst>
        </xdr:cNvPr>
        <xdr:cNvSpPr txBox="1">
          <a:spLocks noChangeArrowheads="1"/>
        </xdr:cNvSpPr>
      </xdr:nvSpPr>
      <xdr:spPr bwMode="auto">
        <a:xfrm>
          <a:off x="2736850" y="10033000"/>
          <a:ext cx="190500" cy="222250"/>
        </a:xfrm>
        <a:prstGeom prst="rect">
          <a:avLst/>
        </a:prstGeom>
        <a:noFill/>
        <a:ln>
          <a:noFill/>
        </a:ln>
        <a:extLst>
          <a:ext uri="{909E8E84-426E-40DD-AFC4-6F175D3DCCD1}">
            <a14:hiddenFill xmlns:a14="http://schemas.microsoft.com/office/drawing/2010/main">
              <a:solidFill>
                <a:srgbClr val="FFFFCC"/>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000000"/>
              </a:solidFill>
              <a:latin typeface="Arial"/>
              <a:cs typeface="Arial"/>
            </a:rPr>
            <a:t>A</a:t>
          </a:r>
        </a:p>
      </xdr:txBody>
    </xdr:sp>
    <xdr:clientData/>
  </xdr:twoCellAnchor>
  <xdr:twoCellAnchor>
    <xdr:from>
      <xdr:col>5</xdr:col>
      <xdr:colOff>330200</xdr:colOff>
      <xdr:row>67</xdr:row>
      <xdr:rowOff>31750</xdr:rowOff>
    </xdr:from>
    <xdr:to>
      <xdr:col>5</xdr:col>
      <xdr:colOff>552450</xdr:colOff>
      <xdr:row>68</xdr:row>
      <xdr:rowOff>6350</xdr:rowOff>
    </xdr:to>
    <xdr:sp macro="" textlink="">
      <xdr:nvSpPr>
        <xdr:cNvPr id="19466" name="Text Box 10">
          <a:extLst>
            <a:ext uri="{FF2B5EF4-FFF2-40B4-BE49-F238E27FC236}">
              <a16:creationId xmlns:a16="http://schemas.microsoft.com/office/drawing/2014/main" id="{00000000-0008-0000-0E00-00000A4C0000}"/>
            </a:ext>
          </a:extLst>
        </xdr:cNvPr>
        <xdr:cNvSpPr txBox="1">
          <a:spLocks noChangeArrowheads="1"/>
        </xdr:cNvSpPr>
      </xdr:nvSpPr>
      <xdr:spPr bwMode="auto">
        <a:xfrm>
          <a:off x="2876550" y="10388600"/>
          <a:ext cx="222250" cy="146050"/>
        </a:xfrm>
        <a:prstGeom prst="rect">
          <a:avLst/>
        </a:prstGeom>
        <a:noFill/>
        <a:ln>
          <a:noFill/>
        </a:ln>
        <a:extLst>
          <a:ext uri="{909E8E84-426E-40DD-AFC4-6F175D3DCCD1}">
            <a14:hiddenFill xmlns:a14="http://schemas.microsoft.com/office/drawing/2010/main">
              <a:solidFill>
                <a:srgbClr xmlns:mc="http://schemas.openxmlformats.org/markup-compatibility/2006" val="FFCC00" mc:Ignorable="a14" a14:legacySpreadsheetColorIndex="51"/>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000000"/>
              </a:solidFill>
              <a:latin typeface="Arial"/>
              <a:cs typeface="Arial"/>
            </a:rPr>
            <a:t>B</a:t>
          </a:r>
        </a:p>
      </xdr:txBody>
    </xdr:sp>
    <xdr:clientData/>
  </xdr:twoCellAnchor>
  <xdr:twoCellAnchor>
    <xdr:from>
      <xdr:col>5</xdr:col>
      <xdr:colOff>438150</xdr:colOff>
      <xdr:row>69</xdr:row>
      <xdr:rowOff>0</xdr:rowOff>
    </xdr:from>
    <xdr:to>
      <xdr:col>5</xdr:col>
      <xdr:colOff>603250</xdr:colOff>
      <xdr:row>70</xdr:row>
      <xdr:rowOff>19050</xdr:rowOff>
    </xdr:to>
    <xdr:sp macro="" textlink="">
      <xdr:nvSpPr>
        <xdr:cNvPr id="19467" name="Text Box 11">
          <a:extLst>
            <a:ext uri="{FF2B5EF4-FFF2-40B4-BE49-F238E27FC236}">
              <a16:creationId xmlns:a16="http://schemas.microsoft.com/office/drawing/2014/main" id="{00000000-0008-0000-0E00-00000B4C0000}"/>
            </a:ext>
          </a:extLst>
        </xdr:cNvPr>
        <xdr:cNvSpPr txBox="1">
          <a:spLocks noChangeArrowheads="1"/>
        </xdr:cNvSpPr>
      </xdr:nvSpPr>
      <xdr:spPr bwMode="auto">
        <a:xfrm>
          <a:off x="2984500" y="10699750"/>
          <a:ext cx="165100" cy="190500"/>
        </a:xfrm>
        <a:prstGeom prst="rect">
          <a:avLst/>
        </a:prstGeom>
        <a:noFill/>
        <a:ln>
          <a:noFill/>
        </a:ln>
        <a:extLst>
          <a:ext uri="{909E8E84-426E-40DD-AFC4-6F175D3DCCD1}">
            <a14:hiddenFill xmlns:a14="http://schemas.microsoft.com/office/drawing/2010/main">
              <a:solidFill>
                <a:srgbClr xmlns:mc="http://schemas.openxmlformats.org/markup-compatibility/2006" val="FF9900" mc:Ignorable="a14" a14:legacySpreadsheetColorIndex="52"/>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C</a:t>
          </a:r>
        </a:p>
      </xdr:txBody>
    </xdr:sp>
    <xdr:clientData/>
  </xdr:twoCellAnchor>
  <xdr:twoCellAnchor>
    <xdr:from>
      <xdr:col>5</xdr:col>
      <xdr:colOff>590550</xdr:colOff>
      <xdr:row>70</xdr:row>
      <xdr:rowOff>165100</xdr:rowOff>
    </xdr:from>
    <xdr:to>
      <xdr:col>6</xdr:col>
      <xdr:colOff>50800</xdr:colOff>
      <xdr:row>72</xdr:row>
      <xdr:rowOff>6350</xdr:rowOff>
    </xdr:to>
    <xdr:sp macro="" textlink="">
      <xdr:nvSpPr>
        <xdr:cNvPr id="19468" name="Text Box 12">
          <a:extLst>
            <a:ext uri="{FF2B5EF4-FFF2-40B4-BE49-F238E27FC236}">
              <a16:creationId xmlns:a16="http://schemas.microsoft.com/office/drawing/2014/main" id="{00000000-0008-0000-0E00-00000C4C0000}"/>
            </a:ext>
          </a:extLst>
        </xdr:cNvPr>
        <xdr:cNvSpPr txBox="1">
          <a:spLocks noChangeArrowheads="1"/>
        </xdr:cNvSpPr>
      </xdr:nvSpPr>
      <xdr:spPr bwMode="auto">
        <a:xfrm>
          <a:off x="3136900" y="11036300"/>
          <a:ext cx="190500" cy="184150"/>
        </a:xfrm>
        <a:prstGeom prst="rect">
          <a:avLst/>
        </a:prstGeom>
        <a:noFill/>
        <a:ln>
          <a:noFill/>
        </a:ln>
        <a:extLst>
          <a:ext uri="{909E8E84-426E-40DD-AFC4-6F175D3DCCD1}">
            <a14:hiddenFill xmlns:a14="http://schemas.microsoft.com/office/drawing/2010/main">
              <a:solidFill>
                <a:srgbClr xmlns:mc="http://schemas.openxmlformats.org/markup-compatibility/2006" val="FF6600" mc:Ignorable="a14" a14:legacySpreadsheetColorIndex="5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D</a:t>
          </a:r>
        </a:p>
      </xdr:txBody>
    </xdr:sp>
    <xdr:clientData/>
  </xdr:twoCellAnchor>
  <xdr:twoCellAnchor>
    <xdr:from>
      <xdr:col>6</xdr:col>
      <xdr:colOff>0</xdr:colOff>
      <xdr:row>73</xdr:row>
      <xdr:rowOff>31750</xdr:rowOff>
    </xdr:from>
    <xdr:to>
      <xdr:col>6</xdr:col>
      <xdr:colOff>120650</xdr:colOff>
      <xdr:row>74</xdr:row>
      <xdr:rowOff>101600</xdr:rowOff>
    </xdr:to>
    <xdr:sp macro="" textlink="">
      <xdr:nvSpPr>
        <xdr:cNvPr id="19469" name="Text Box 13">
          <a:extLst>
            <a:ext uri="{FF2B5EF4-FFF2-40B4-BE49-F238E27FC236}">
              <a16:creationId xmlns:a16="http://schemas.microsoft.com/office/drawing/2014/main" id="{00000000-0008-0000-0E00-00000D4C0000}"/>
            </a:ext>
          </a:extLst>
        </xdr:cNvPr>
        <xdr:cNvSpPr txBox="1">
          <a:spLocks noChangeArrowheads="1"/>
        </xdr:cNvSpPr>
      </xdr:nvSpPr>
      <xdr:spPr bwMode="auto">
        <a:xfrm>
          <a:off x="3276600" y="11417300"/>
          <a:ext cx="120650" cy="241300"/>
        </a:xfrm>
        <a:prstGeom prst="rect">
          <a:avLst/>
        </a:prstGeom>
        <a:noFill/>
        <a:ln>
          <a:noFill/>
        </a:ln>
        <a:extLst>
          <a:ext uri="{909E8E84-426E-40DD-AFC4-6F175D3DCCD1}">
            <a14:hiddenFill xmlns:a14="http://schemas.microsoft.com/office/drawing/2010/main">
              <a:solidFill>
                <a:srgbClr xmlns:mc="http://schemas.openxmlformats.org/markup-compatibility/2006" val="993300" mc:Ignorable="a14" a14:legacySpreadsheetColorIndex="6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en-AU" sz="1000" b="1" i="0" u="none" strike="noStrike" baseline="0">
              <a:solidFill>
                <a:srgbClr val="FFFFFF"/>
              </a:solidFill>
              <a:latin typeface="Arial"/>
              <a:cs typeface="Arial"/>
            </a:rPr>
            <a:t>E</a:t>
          </a:r>
        </a:p>
      </xdr:txBody>
    </xdr:sp>
    <xdr:clientData/>
  </xdr:twoCellAnchor>
  <xdr:twoCellAnchor editAs="oneCell">
    <xdr:from>
      <xdr:col>6</xdr:col>
      <xdr:colOff>717550</xdr:colOff>
      <xdr:row>0</xdr:row>
      <xdr:rowOff>25400</xdr:rowOff>
    </xdr:from>
    <xdr:to>
      <xdr:col>7</xdr:col>
      <xdr:colOff>698500</xdr:colOff>
      <xdr:row>1</xdr:row>
      <xdr:rowOff>76200</xdr:rowOff>
    </xdr:to>
    <xdr:pic>
      <xdr:nvPicPr>
        <xdr:cNvPr id="20112" name="hyper_index_11">
          <a:hlinkClick xmlns:r="http://schemas.openxmlformats.org/officeDocument/2006/relationships" r:id="rId3"/>
          <a:extLst>
            <a:ext uri="{FF2B5EF4-FFF2-40B4-BE49-F238E27FC236}">
              <a16:creationId xmlns:a16="http://schemas.microsoft.com/office/drawing/2014/main" id="{00000000-0008-0000-0E00-0000904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941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20113" name="left_arrow_11">
          <a:hlinkClick xmlns:r="http://schemas.openxmlformats.org/officeDocument/2006/relationships" r:id="rId5"/>
          <a:extLst>
            <a:ext uri="{FF2B5EF4-FFF2-40B4-BE49-F238E27FC236}">
              <a16:creationId xmlns:a16="http://schemas.microsoft.com/office/drawing/2014/main" id="{00000000-0008-0000-0E00-0000914E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81</xdr:row>
      <xdr:rowOff>101600</xdr:rowOff>
    </xdr:from>
    <xdr:to>
      <xdr:col>2</xdr:col>
      <xdr:colOff>241300</xdr:colOff>
      <xdr:row>83</xdr:row>
      <xdr:rowOff>6350</xdr:rowOff>
    </xdr:to>
    <xdr:sp macro="" textlink="">
      <xdr:nvSpPr>
        <xdr:cNvPr id="20114" name="left_arrow_1_11">
          <a:hlinkClick xmlns:r="http://schemas.openxmlformats.org/officeDocument/2006/relationships" r:id="rId5"/>
          <a:extLst>
            <a:ext uri="{FF2B5EF4-FFF2-40B4-BE49-F238E27FC236}">
              <a16:creationId xmlns:a16="http://schemas.microsoft.com/office/drawing/2014/main" id="{00000000-0008-0000-0E00-0000924E0000}"/>
            </a:ext>
          </a:extLst>
        </xdr:cNvPr>
        <xdr:cNvSpPr>
          <a:spLocks noChangeArrowheads="1"/>
        </xdr:cNvSpPr>
      </xdr:nvSpPr>
      <xdr:spPr bwMode="auto">
        <a:xfrm rot="10800000">
          <a:off x="158750" y="12833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539750</xdr:colOff>
      <xdr:row>0</xdr:row>
      <xdr:rowOff>44450</xdr:rowOff>
    </xdr:from>
    <xdr:to>
      <xdr:col>13</xdr:col>
      <xdr:colOff>31750</xdr:colOff>
      <xdr:row>1</xdr:row>
      <xdr:rowOff>114300</xdr:rowOff>
    </xdr:to>
    <xdr:sp macro="" textlink="">
      <xdr:nvSpPr>
        <xdr:cNvPr id="20115" name="right_arrow_11">
          <a:hlinkClick xmlns:r="http://schemas.openxmlformats.org/officeDocument/2006/relationships" r:id="rId6"/>
          <a:extLst>
            <a:ext uri="{FF2B5EF4-FFF2-40B4-BE49-F238E27FC236}">
              <a16:creationId xmlns:a16="http://schemas.microsoft.com/office/drawing/2014/main" id="{00000000-0008-0000-0E00-0000934E0000}"/>
            </a:ext>
          </a:extLst>
        </xdr:cNvPr>
        <xdr:cNvSpPr>
          <a:spLocks noChangeArrowheads="1"/>
        </xdr:cNvSpPr>
      </xdr:nvSpPr>
      <xdr:spPr bwMode="auto">
        <a:xfrm>
          <a:off x="82613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539750</xdr:colOff>
      <xdr:row>81</xdr:row>
      <xdr:rowOff>101600</xdr:rowOff>
    </xdr:from>
    <xdr:to>
      <xdr:col>13</xdr:col>
      <xdr:colOff>31750</xdr:colOff>
      <xdr:row>83</xdr:row>
      <xdr:rowOff>6350</xdr:rowOff>
    </xdr:to>
    <xdr:sp macro="" textlink="">
      <xdr:nvSpPr>
        <xdr:cNvPr id="20116" name="right_arrow_1_11">
          <a:hlinkClick xmlns:r="http://schemas.openxmlformats.org/officeDocument/2006/relationships" r:id="rId6"/>
          <a:extLst>
            <a:ext uri="{FF2B5EF4-FFF2-40B4-BE49-F238E27FC236}">
              <a16:creationId xmlns:a16="http://schemas.microsoft.com/office/drawing/2014/main" id="{00000000-0008-0000-0E00-0000944E0000}"/>
            </a:ext>
          </a:extLst>
        </xdr:cNvPr>
        <xdr:cNvSpPr>
          <a:spLocks noChangeArrowheads="1"/>
        </xdr:cNvSpPr>
      </xdr:nvSpPr>
      <xdr:spPr bwMode="auto">
        <a:xfrm>
          <a:off x="8261350" y="12833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298450</xdr:colOff>
          <xdr:row>27</xdr:row>
          <xdr:rowOff>127000</xdr:rowOff>
        </xdr:from>
        <xdr:to>
          <xdr:col>6</xdr:col>
          <xdr:colOff>50800</xdr:colOff>
          <xdr:row>28</xdr:row>
          <xdr:rowOff>95250</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10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425450</xdr:colOff>
          <xdr:row>27</xdr:row>
          <xdr:rowOff>12700</xdr:rowOff>
        </xdr:from>
        <xdr:to>
          <xdr:col>6</xdr:col>
          <xdr:colOff>742950</xdr:colOff>
          <xdr:row>28</xdr:row>
          <xdr:rowOff>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1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425450</xdr:colOff>
          <xdr:row>28</xdr:row>
          <xdr:rowOff>12700</xdr:rowOff>
        </xdr:from>
        <xdr:to>
          <xdr:col>6</xdr:col>
          <xdr:colOff>742950</xdr:colOff>
          <xdr:row>29</xdr:row>
          <xdr:rowOff>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1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311150</xdr:colOff>
      <xdr:row>31</xdr:row>
      <xdr:rowOff>146050</xdr:rowOff>
    </xdr:from>
    <xdr:to>
      <xdr:col>11</xdr:col>
      <xdr:colOff>698500</xdr:colOff>
      <xdr:row>47</xdr:row>
      <xdr:rowOff>120650</xdr:rowOff>
    </xdr:to>
    <xdr:graphicFrame macro="">
      <xdr:nvGraphicFramePr>
        <xdr:cNvPr id="3080" name="Chart 8">
          <a:extLst>
            <a:ext uri="{FF2B5EF4-FFF2-40B4-BE49-F238E27FC236}">
              <a16:creationId xmlns:a16="http://schemas.microsoft.com/office/drawing/2014/main" id="{00000000-0008-0000-1000-000008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82550</xdr:colOff>
      <xdr:row>0</xdr:row>
      <xdr:rowOff>25400</xdr:rowOff>
    </xdr:from>
    <xdr:to>
      <xdr:col>8</xdr:col>
      <xdr:colOff>31750</xdr:colOff>
      <xdr:row>1</xdr:row>
      <xdr:rowOff>76200</xdr:rowOff>
    </xdr:to>
    <xdr:pic>
      <xdr:nvPicPr>
        <xdr:cNvPr id="3356" name="hyper_index_12">
          <a:hlinkClick xmlns:r="http://schemas.openxmlformats.org/officeDocument/2006/relationships" r:id="rId2"/>
          <a:extLst>
            <a:ext uri="{FF2B5EF4-FFF2-40B4-BE49-F238E27FC236}">
              <a16:creationId xmlns:a16="http://schemas.microsoft.com/office/drawing/2014/main" id="{00000000-0008-0000-1000-00001C0D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145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3357" name="left_arrow_12">
          <a:hlinkClick xmlns:r="http://schemas.openxmlformats.org/officeDocument/2006/relationships" r:id="rId4"/>
          <a:extLst>
            <a:ext uri="{FF2B5EF4-FFF2-40B4-BE49-F238E27FC236}">
              <a16:creationId xmlns:a16="http://schemas.microsoft.com/office/drawing/2014/main" id="{00000000-0008-0000-1000-00001D0D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50</xdr:row>
      <xdr:rowOff>101600</xdr:rowOff>
    </xdr:from>
    <xdr:to>
      <xdr:col>2</xdr:col>
      <xdr:colOff>241300</xdr:colOff>
      <xdr:row>52</xdr:row>
      <xdr:rowOff>6350</xdr:rowOff>
    </xdr:to>
    <xdr:sp macro="" textlink="">
      <xdr:nvSpPr>
        <xdr:cNvPr id="3358" name="left_arrow_1_12">
          <a:hlinkClick xmlns:r="http://schemas.openxmlformats.org/officeDocument/2006/relationships" r:id="rId4"/>
          <a:extLst>
            <a:ext uri="{FF2B5EF4-FFF2-40B4-BE49-F238E27FC236}">
              <a16:creationId xmlns:a16="http://schemas.microsoft.com/office/drawing/2014/main" id="{00000000-0008-0000-1000-00001E0D0000}"/>
            </a:ext>
          </a:extLst>
        </xdr:cNvPr>
        <xdr:cNvSpPr>
          <a:spLocks noChangeArrowheads="1"/>
        </xdr:cNvSpPr>
      </xdr:nvSpPr>
      <xdr:spPr bwMode="auto">
        <a:xfrm rot="10800000">
          <a:off x="158750" y="7924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565150</xdr:colOff>
      <xdr:row>0</xdr:row>
      <xdr:rowOff>44450</xdr:rowOff>
    </xdr:from>
    <xdr:to>
      <xdr:col>13</xdr:col>
      <xdr:colOff>31750</xdr:colOff>
      <xdr:row>1</xdr:row>
      <xdr:rowOff>114300</xdr:rowOff>
    </xdr:to>
    <xdr:sp macro="" textlink="">
      <xdr:nvSpPr>
        <xdr:cNvPr id="3359" name="right_arrow_12">
          <a:hlinkClick xmlns:r="http://schemas.openxmlformats.org/officeDocument/2006/relationships" r:id="rId5"/>
          <a:extLst>
            <a:ext uri="{FF2B5EF4-FFF2-40B4-BE49-F238E27FC236}">
              <a16:creationId xmlns:a16="http://schemas.microsoft.com/office/drawing/2014/main" id="{00000000-0008-0000-1000-00001F0D0000}"/>
            </a:ext>
          </a:extLst>
        </xdr:cNvPr>
        <xdr:cNvSpPr>
          <a:spLocks noChangeArrowheads="1"/>
        </xdr:cNvSpPr>
      </xdr:nvSpPr>
      <xdr:spPr bwMode="auto">
        <a:xfrm>
          <a:off x="82232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565150</xdr:colOff>
      <xdr:row>50</xdr:row>
      <xdr:rowOff>101600</xdr:rowOff>
    </xdr:from>
    <xdr:to>
      <xdr:col>13</xdr:col>
      <xdr:colOff>31750</xdr:colOff>
      <xdr:row>52</xdr:row>
      <xdr:rowOff>6350</xdr:rowOff>
    </xdr:to>
    <xdr:sp macro="" textlink="">
      <xdr:nvSpPr>
        <xdr:cNvPr id="3360" name="right_arrow_1_12">
          <a:hlinkClick xmlns:r="http://schemas.openxmlformats.org/officeDocument/2006/relationships" r:id="rId5"/>
          <a:extLst>
            <a:ext uri="{FF2B5EF4-FFF2-40B4-BE49-F238E27FC236}">
              <a16:creationId xmlns:a16="http://schemas.microsoft.com/office/drawing/2014/main" id="{00000000-0008-0000-1000-0000200D0000}"/>
            </a:ext>
          </a:extLst>
        </xdr:cNvPr>
        <xdr:cNvSpPr>
          <a:spLocks noChangeArrowheads="1"/>
        </xdr:cNvSpPr>
      </xdr:nvSpPr>
      <xdr:spPr bwMode="auto">
        <a:xfrm>
          <a:off x="8223250" y="7924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311150</xdr:colOff>
      <xdr:row>0</xdr:row>
      <xdr:rowOff>25400</xdr:rowOff>
    </xdr:from>
    <xdr:to>
      <xdr:col>6</xdr:col>
      <xdr:colOff>450850</xdr:colOff>
      <xdr:row>1</xdr:row>
      <xdr:rowOff>76200</xdr:rowOff>
    </xdr:to>
    <xdr:pic>
      <xdr:nvPicPr>
        <xdr:cNvPr id="97281" name="hyper_index_13">
          <a:hlinkClick xmlns:r="http://schemas.openxmlformats.org/officeDocument/2006/relationships" r:id="rId1"/>
          <a:extLst>
            <a:ext uri="{FF2B5EF4-FFF2-40B4-BE49-F238E27FC236}">
              <a16:creationId xmlns:a16="http://schemas.microsoft.com/office/drawing/2014/main" id="{00000000-0008-0000-1200-0000017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941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7282" name="left_arrow_13">
          <a:hlinkClick xmlns:r="http://schemas.openxmlformats.org/officeDocument/2006/relationships" r:id="rId3"/>
          <a:extLst>
            <a:ext uri="{FF2B5EF4-FFF2-40B4-BE49-F238E27FC236}">
              <a16:creationId xmlns:a16="http://schemas.microsoft.com/office/drawing/2014/main" id="{00000000-0008-0000-1200-0000027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37</xdr:row>
      <xdr:rowOff>101600</xdr:rowOff>
    </xdr:from>
    <xdr:to>
      <xdr:col>2</xdr:col>
      <xdr:colOff>241300</xdr:colOff>
      <xdr:row>39</xdr:row>
      <xdr:rowOff>6350</xdr:rowOff>
    </xdr:to>
    <xdr:sp macro="" textlink="">
      <xdr:nvSpPr>
        <xdr:cNvPr id="97283" name="left_arrow_1_13">
          <a:hlinkClick xmlns:r="http://schemas.openxmlformats.org/officeDocument/2006/relationships" r:id="rId3"/>
          <a:extLst>
            <a:ext uri="{FF2B5EF4-FFF2-40B4-BE49-F238E27FC236}">
              <a16:creationId xmlns:a16="http://schemas.microsoft.com/office/drawing/2014/main" id="{00000000-0008-0000-1200-0000037C0100}"/>
            </a:ext>
          </a:extLst>
        </xdr:cNvPr>
        <xdr:cNvSpPr>
          <a:spLocks noChangeArrowheads="1"/>
        </xdr:cNvSpPr>
      </xdr:nvSpPr>
      <xdr:spPr bwMode="auto">
        <a:xfrm rot="10800000">
          <a:off x="158750" y="60769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400050</xdr:colOff>
      <xdr:row>0</xdr:row>
      <xdr:rowOff>44450</xdr:rowOff>
    </xdr:from>
    <xdr:to>
      <xdr:col>13</xdr:col>
      <xdr:colOff>31750</xdr:colOff>
      <xdr:row>1</xdr:row>
      <xdr:rowOff>114300</xdr:rowOff>
    </xdr:to>
    <xdr:sp macro="" textlink="">
      <xdr:nvSpPr>
        <xdr:cNvPr id="97284" name="right_arrow_13">
          <a:hlinkClick xmlns:r="http://schemas.openxmlformats.org/officeDocument/2006/relationships" r:id="rId4"/>
          <a:extLst>
            <a:ext uri="{FF2B5EF4-FFF2-40B4-BE49-F238E27FC236}">
              <a16:creationId xmlns:a16="http://schemas.microsoft.com/office/drawing/2014/main" id="{00000000-0008-0000-1200-0000047C0100}"/>
            </a:ext>
          </a:extLst>
        </xdr:cNvPr>
        <xdr:cNvSpPr>
          <a:spLocks noChangeArrowheads="1"/>
        </xdr:cNvSpPr>
      </xdr:nvSpPr>
      <xdr:spPr bwMode="auto">
        <a:xfrm>
          <a:off x="82677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400050</xdr:colOff>
      <xdr:row>37</xdr:row>
      <xdr:rowOff>101600</xdr:rowOff>
    </xdr:from>
    <xdr:to>
      <xdr:col>13</xdr:col>
      <xdr:colOff>31750</xdr:colOff>
      <xdr:row>39</xdr:row>
      <xdr:rowOff>6350</xdr:rowOff>
    </xdr:to>
    <xdr:sp macro="" textlink="">
      <xdr:nvSpPr>
        <xdr:cNvPr id="97285" name="right_arrow_1_13">
          <a:hlinkClick xmlns:r="http://schemas.openxmlformats.org/officeDocument/2006/relationships" r:id="rId4"/>
          <a:extLst>
            <a:ext uri="{FF2B5EF4-FFF2-40B4-BE49-F238E27FC236}">
              <a16:creationId xmlns:a16="http://schemas.microsoft.com/office/drawing/2014/main" id="{00000000-0008-0000-1200-0000057C0100}"/>
            </a:ext>
          </a:extLst>
        </xdr:cNvPr>
        <xdr:cNvSpPr>
          <a:spLocks noChangeArrowheads="1"/>
        </xdr:cNvSpPr>
      </xdr:nvSpPr>
      <xdr:spPr bwMode="auto">
        <a:xfrm>
          <a:off x="8267700" y="60769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31750</xdr:colOff>
      <xdr:row>35</xdr:row>
      <xdr:rowOff>152400</xdr:rowOff>
    </xdr:from>
    <xdr:to>
      <xdr:col>12</xdr:col>
      <xdr:colOff>723900</xdr:colOff>
      <xdr:row>53</xdr:row>
      <xdr:rowOff>44450</xdr:rowOff>
    </xdr:to>
    <xdr:graphicFrame macro="">
      <xdr:nvGraphicFramePr>
        <xdr:cNvPr id="25601" name="Chart_Breakdown">
          <a:extLst>
            <a:ext uri="{FF2B5EF4-FFF2-40B4-BE49-F238E27FC236}">
              <a16:creationId xmlns:a16="http://schemas.microsoft.com/office/drawing/2014/main" id="{00000000-0008-0000-1300-0000016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196850</xdr:colOff>
      <xdr:row>54</xdr:row>
      <xdr:rowOff>44450</xdr:rowOff>
    </xdr:from>
    <xdr:to>
      <xdr:col>6</xdr:col>
      <xdr:colOff>584200</xdr:colOff>
      <xdr:row>56</xdr:row>
      <xdr:rowOff>57150</xdr:rowOff>
    </xdr:to>
    <xdr:sp macro="" textlink="">
      <xdr:nvSpPr>
        <xdr:cNvPr id="26148" name="AutoShape 548">
          <a:extLst>
            <a:ext uri="{FF2B5EF4-FFF2-40B4-BE49-F238E27FC236}">
              <a16:creationId xmlns:a16="http://schemas.microsoft.com/office/drawing/2014/main" id="{00000000-0008-0000-1300-000024660000}"/>
            </a:ext>
          </a:extLst>
        </xdr:cNvPr>
        <xdr:cNvSpPr>
          <a:spLocks noChangeArrowheads="1"/>
        </xdr:cNvSpPr>
      </xdr:nvSpPr>
      <xdr:spPr bwMode="auto">
        <a:xfrm>
          <a:off x="3327400" y="8642350"/>
          <a:ext cx="387350" cy="26035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190500</xdr:colOff>
      <xdr:row>22</xdr:row>
      <xdr:rowOff>6350</xdr:rowOff>
    </xdr:from>
    <xdr:to>
      <xdr:col>5</xdr:col>
      <xdr:colOff>565150</xdr:colOff>
      <xdr:row>23</xdr:row>
      <xdr:rowOff>0</xdr:rowOff>
    </xdr:to>
    <xdr:sp macro="" textlink="">
      <xdr:nvSpPr>
        <xdr:cNvPr id="26155" name="AutoShape 555">
          <a:extLst>
            <a:ext uri="{FF2B5EF4-FFF2-40B4-BE49-F238E27FC236}">
              <a16:creationId xmlns:a16="http://schemas.microsoft.com/office/drawing/2014/main" id="{00000000-0008-0000-1300-00002B660000}"/>
            </a:ext>
          </a:extLst>
        </xdr:cNvPr>
        <xdr:cNvSpPr>
          <a:spLocks noChangeArrowheads="1"/>
        </xdr:cNvSpPr>
      </xdr:nvSpPr>
      <xdr:spPr bwMode="auto">
        <a:xfrm>
          <a:off x="2584450" y="3517900"/>
          <a:ext cx="374650" cy="152400"/>
        </a:xfrm>
        <a:prstGeom prst="upArrow">
          <a:avLst>
            <a:gd name="adj1" fmla="val 50000"/>
            <a:gd name="adj2" fmla="val 25000"/>
          </a:avLst>
        </a:prstGeom>
        <a:pattFill prst="dkUpDiag">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190500</xdr:colOff>
      <xdr:row>22</xdr:row>
      <xdr:rowOff>6350</xdr:rowOff>
    </xdr:from>
    <xdr:to>
      <xdr:col>8</xdr:col>
      <xdr:colOff>565150</xdr:colOff>
      <xdr:row>23</xdr:row>
      <xdr:rowOff>0</xdr:rowOff>
    </xdr:to>
    <xdr:sp macro="" textlink="">
      <xdr:nvSpPr>
        <xdr:cNvPr id="26156" name="AutoShape 556">
          <a:extLst>
            <a:ext uri="{FF2B5EF4-FFF2-40B4-BE49-F238E27FC236}">
              <a16:creationId xmlns:a16="http://schemas.microsoft.com/office/drawing/2014/main" id="{00000000-0008-0000-1300-00002C660000}"/>
            </a:ext>
          </a:extLst>
        </xdr:cNvPr>
        <xdr:cNvSpPr>
          <a:spLocks noChangeArrowheads="1"/>
        </xdr:cNvSpPr>
      </xdr:nvSpPr>
      <xdr:spPr bwMode="auto">
        <a:xfrm>
          <a:off x="4832350" y="3517900"/>
          <a:ext cx="374650" cy="152400"/>
        </a:xfrm>
        <a:prstGeom prst="upArrow">
          <a:avLst>
            <a:gd name="adj1" fmla="val 50000"/>
            <a:gd name="adj2" fmla="val 25000"/>
          </a:avLst>
        </a:prstGeom>
        <a:pattFill prst="ltDnDiag">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177800</xdr:colOff>
      <xdr:row>26</xdr:row>
      <xdr:rowOff>6350</xdr:rowOff>
    </xdr:from>
    <xdr:to>
      <xdr:col>5</xdr:col>
      <xdr:colOff>558800</xdr:colOff>
      <xdr:row>27</xdr:row>
      <xdr:rowOff>0</xdr:rowOff>
    </xdr:to>
    <xdr:sp macro="" textlink="">
      <xdr:nvSpPr>
        <xdr:cNvPr id="26159" name="AutoShape 559">
          <a:extLst>
            <a:ext uri="{FF2B5EF4-FFF2-40B4-BE49-F238E27FC236}">
              <a16:creationId xmlns:a16="http://schemas.microsoft.com/office/drawing/2014/main" id="{00000000-0008-0000-1300-00002F660000}"/>
            </a:ext>
          </a:extLst>
        </xdr:cNvPr>
        <xdr:cNvSpPr>
          <a:spLocks noChangeArrowheads="1"/>
        </xdr:cNvSpPr>
      </xdr:nvSpPr>
      <xdr:spPr bwMode="auto">
        <a:xfrm>
          <a:off x="2571750" y="4152900"/>
          <a:ext cx="381000" cy="15240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190500</xdr:colOff>
      <xdr:row>26</xdr:row>
      <xdr:rowOff>6350</xdr:rowOff>
    </xdr:from>
    <xdr:to>
      <xdr:col>6</xdr:col>
      <xdr:colOff>565150</xdr:colOff>
      <xdr:row>27</xdr:row>
      <xdr:rowOff>0</xdr:rowOff>
    </xdr:to>
    <xdr:sp macro="" textlink="">
      <xdr:nvSpPr>
        <xdr:cNvPr id="26160" name="AutoShape 560">
          <a:extLst>
            <a:ext uri="{FF2B5EF4-FFF2-40B4-BE49-F238E27FC236}">
              <a16:creationId xmlns:a16="http://schemas.microsoft.com/office/drawing/2014/main" id="{00000000-0008-0000-1300-000030660000}"/>
            </a:ext>
          </a:extLst>
        </xdr:cNvPr>
        <xdr:cNvSpPr>
          <a:spLocks noChangeArrowheads="1"/>
        </xdr:cNvSpPr>
      </xdr:nvSpPr>
      <xdr:spPr bwMode="auto">
        <a:xfrm>
          <a:off x="3321050" y="4152900"/>
          <a:ext cx="374650" cy="15240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196850</xdr:colOff>
      <xdr:row>26</xdr:row>
      <xdr:rowOff>19050</xdr:rowOff>
    </xdr:from>
    <xdr:to>
      <xdr:col>7</xdr:col>
      <xdr:colOff>577850</xdr:colOff>
      <xdr:row>27</xdr:row>
      <xdr:rowOff>6350</xdr:rowOff>
    </xdr:to>
    <xdr:sp macro="" textlink="">
      <xdr:nvSpPr>
        <xdr:cNvPr id="26161" name="AutoShape 561">
          <a:extLst>
            <a:ext uri="{FF2B5EF4-FFF2-40B4-BE49-F238E27FC236}">
              <a16:creationId xmlns:a16="http://schemas.microsoft.com/office/drawing/2014/main" id="{00000000-0008-0000-1300-000031660000}"/>
            </a:ext>
          </a:extLst>
        </xdr:cNvPr>
        <xdr:cNvSpPr>
          <a:spLocks noChangeArrowheads="1"/>
        </xdr:cNvSpPr>
      </xdr:nvSpPr>
      <xdr:spPr bwMode="auto">
        <a:xfrm>
          <a:off x="4083050" y="4165600"/>
          <a:ext cx="381000" cy="14605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209550</xdr:colOff>
      <xdr:row>26</xdr:row>
      <xdr:rowOff>19050</xdr:rowOff>
    </xdr:from>
    <xdr:to>
      <xdr:col>8</xdr:col>
      <xdr:colOff>584200</xdr:colOff>
      <xdr:row>27</xdr:row>
      <xdr:rowOff>6350</xdr:rowOff>
    </xdr:to>
    <xdr:sp macro="" textlink="">
      <xdr:nvSpPr>
        <xdr:cNvPr id="26162" name="AutoShape 562">
          <a:extLst>
            <a:ext uri="{FF2B5EF4-FFF2-40B4-BE49-F238E27FC236}">
              <a16:creationId xmlns:a16="http://schemas.microsoft.com/office/drawing/2014/main" id="{00000000-0008-0000-1300-000032660000}"/>
            </a:ext>
          </a:extLst>
        </xdr:cNvPr>
        <xdr:cNvSpPr>
          <a:spLocks noChangeArrowheads="1"/>
        </xdr:cNvSpPr>
      </xdr:nvSpPr>
      <xdr:spPr bwMode="auto">
        <a:xfrm>
          <a:off x="4851400" y="4165600"/>
          <a:ext cx="374650" cy="14605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228600</xdr:colOff>
      <xdr:row>26</xdr:row>
      <xdr:rowOff>6350</xdr:rowOff>
    </xdr:from>
    <xdr:to>
      <xdr:col>9</xdr:col>
      <xdr:colOff>609600</xdr:colOff>
      <xdr:row>27</xdr:row>
      <xdr:rowOff>0</xdr:rowOff>
    </xdr:to>
    <xdr:sp macro="" textlink="">
      <xdr:nvSpPr>
        <xdr:cNvPr id="26163" name="AutoShape 563">
          <a:extLst>
            <a:ext uri="{FF2B5EF4-FFF2-40B4-BE49-F238E27FC236}">
              <a16:creationId xmlns:a16="http://schemas.microsoft.com/office/drawing/2014/main" id="{00000000-0008-0000-1300-000033660000}"/>
            </a:ext>
          </a:extLst>
        </xdr:cNvPr>
        <xdr:cNvSpPr>
          <a:spLocks noChangeArrowheads="1"/>
        </xdr:cNvSpPr>
      </xdr:nvSpPr>
      <xdr:spPr bwMode="auto">
        <a:xfrm>
          <a:off x="5626100" y="4152900"/>
          <a:ext cx="381000" cy="15240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196850</xdr:colOff>
      <xdr:row>54</xdr:row>
      <xdr:rowOff>38100</xdr:rowOff>
    </xdr:from>
    <xdr:to>
      <xdr:col>7</xdr:col>
      <xdr:colOff>584200</xdr:colOff>
      <xdr:row>56</xdr:row>
      <xdr:rowOff>44450</xdr:rowOff>
    </xdr:to>
    <xdr:sp macro="" textlink="">
      <xdr:nvSpPr>
        <xdr:cNvPr id="26165" name="AutoShape 565">
          <a:extLst>
            <a:ext uri="{FF2B5EF4-FFF2-40B4-BE49-F238E27FC236}">
              <a16:creationId xmlns:a16="http://schemas.microsoft.com/office/drawing/2014/main" id="{00000000-0008-0000-1300-000035660000}"/>
            </a:ext>
          </a:extLst>
        </xdr:cNvPr>
        <xdr:cNvSpPr>
          <a:spLocks noChangeArrowheads="1"/>
        </xdr:cNvSpPr>
      </xdr:nvSpPr>
      <xdr:spPr bwMode="auto">
        <a:xfrm>
          <a:off x="4083050" y="8636000"/>
          <a:ext cx="387350" cy="25400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215900</xdr:colOff>
      <xdr:row>54</xdr:row>
      <xdr:rowOff>44450</xdr:rowOff>
    </xdr:from>
    <xdr:to>
      <xdr:col>8</xdr:col>
      <xdr:colOff>609600</xdr:colOff>
      <xdr:row>56</xdr:row>
      <xdr:rowOff>57150</xdr:rowOff>
    </xdr:to>
    <xdr:sp macro="" textlink="">
      <xdr:nvSpPr>
        <xdr:cNvPr id="26166" name="AutoShape 566">
          <a:extLst>
            <a:ext uri="{FF2B5EF4-FFF2-40B4-BE49-F238E27FC236}">
              <a16:creationId xmlns:a16="http://schemas.microsoft.com/office/drawing/2014/main" id="{00000000-0008-0000-1300-000036660000}"/>
            </a:ext>
          </a:extLst>
        </xdr:cNvPr>
        <xdr:cNvSpPr>
          <a:spLocks noChangeArrowheads="1"/>
        </xdr:cNvSpPr>
      </xdr:nvSpPr>
      <xdr:spPr bwMode="auto">
        <a:xfrm>
          <a:off x="4857750" y="8642350"/>
          <a:ext cx="393700" cy="26035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177800</xdr:colOff>
      <xdr:row>54</xdr:row>
      <xdr:rowOff>44450</xdr:rowOff>
    </xdr:from>
    <xdr:to>
      <xdr:col>9</xdr:col>
      <xdr:colOff>565150</xdr:colOff>
      <xdr:row>56</xdr:row>
      <xdr:rowOff>57150</xdr:rowOff>
    </xdr:to>
    <xdr:sp macro="" textlink="">
      <xdr:nvSpPr>
        <xdr:cNvPr id="26167" name="AutoShape 567">
          <a:extLst>
            <a:ext uri="{FF2B5EF4-FFF2-40B4-BE49-F238E27FC236}">
              <a16:creationId xmlns:a16="http://schemas.microsoft.com/office/drawing/2014/main" id="{00000000-0008-0000-1300-000037660000}"/>
            </a:ext>
          </a:extLst>
        </xdr:cNvPr>
        <xdr:cNvSpPr>
          <a:spLocks noChangeArrowheads="1"/>
        </xdr:cNvSpPr>
      </xdr:nvSpPr>
      <xdr:spPr bwMode="auto">
        <a:xfrm>
          <a:off x="5575300" y="8642350"/>
          <a:ext cx="387350" cy="26035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196850</xdr:colOff>
      <xdr:row>54</xdr:row>
      <xdr:rowOff>44450</xdr:rowOff>
    </xdr:from>
    <xdr:to>
      <xdr:col>10</xdr:col>
      <xdr:colOff>584200</xdr:colOff>
      <xdr:row>56</xdr:row>
      <xdr:rowOff>57150</xdr:rowOff>
    </xdr:to>
    <xdr:sp macro="" textlink="">
      <xdr:nvSpPr>
        <xdr:cNvPr id="26168" name="AutoShape 568">
          <a:extLst>
            <a:ext uri="{FF2B5EF4-FFF2-40B4-BE49-F238E27FC236}">
              <a16:creationId xmlns:a16="http://schemas.microsoft.com/office/drawing/2014/main" id="{00000000-0008-0000-1300-000038660000}"/>
            </a:ext>
          </a:extLst>
        </xdr:cNvPr>
        <xdr:cNvSpPr>
          <a:spLocks noChangeArrowheads="1"/>
        </xdr:cNvSpPr>
      </xdr:nvSpPr>
      <xdr:spPr bwMode="auto">
        <a:xfrm>
          <a:off x="6350000" y="8642350"/>
          <a:ext cx="387350" cy="26035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190500</xdr:colOff>
      <xdr:row>54</xdr:row>
      <xdr:rowOff>38100</xdr:rowOff>
    </xdr:from>
    <xdr:to>
      <xdr:col>11</xdr:col>
      <xdr:colOff>577850</xdr:colOff>
      <xdr:row>56</xdr:row>
      <xdr:rowOff>44450</xdr:rowOff>
    </xdr:to>
    <xdr:sp macro="" textlink="">
      <xdr:nvSpPr>
        <xdr:cNvPr id="26169" name="AutoShape 569">
          <a:extLst>
            <a:ext uri="{FF2B5EF4-FFF2-40B4-BE49-F238E27FC236}">
              <a16:creationId xmlns:a16="http://schemas.microsoft.com/office/drawing/2014/main" id="{00000000-0008-0000-1300-000039660000}"/>
            </a:ext>
          </a:extLst>
        </xdr:cNvPr>
        <xdr:cNvSpPr>
          <a:spLocks noChangeArrowheads="1"/>
        </xdr:cNvSpPr>
      </xdr:nvSpPr>
      <xdr:spPr bwMode="auto">
        <a:xfrm>
          <a:off x="7099300" y="8636000"/>
          <a:ext cx="387350" cy="25400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12</xdr:col>
      <xdr:colOff>190500</xdr:colOff>
      <xdr:row>54</xdr:row>
      <xdr:rowOff>38100</xdr:rowOff>
    </xdr:from>
    <xdr:to>
      <xdr:col>12</xdr:col>
      <xdr:colOff>577850</xdr:colOff>
      <xdr:row>56</xdr:row>
      <xdr:rowOff>44450</xdr:rowOff>
    </xdr:to>
    <xdr:sp macro="" textlink="">
      <xdr:nvSpPr>
        <xdr:cNvPr id="26170" name="AutoShape 570">
          <a:extLst>
            <a:ext uri="{FF2B5EF4-FFF2-40B4-BE49-F238E27FC236}">
              <a16:creationId xmlns:a16="http://schemas.microsoft.com/office/drawing/2014/main" id="{00000000-0008-0000-1300-00003A660000}"/>
            </a:ext>
          </a:extLst>
        </xdr:cNvPr>
        <xdr:cNvSpPr>
          <a:spLocks noChangeArrowheads="1"/>
        </xdr:cNvSpPr>
      </xdr:nvSpPr>
      <xdr:spPr bwMode="auto">
        <a:xfrm>
          <a:off x="7854950" y="8636000"/>
          <a:ext cx="387350" cy="254000"/>
        </a:xfrm>
        <a:prstGeom prst="upArrow">
          <a:avLst>
            <a:gd name="adj1" fmla="val 50000"/>
            <a:gd name="adj2" fmla="val 25000"/>
          </a:avLst>
        </a:prstGeom>
        <a:solidFill>
          <a:srgbClr xmlns:mc="http://schemas.openxmlformats.org/markup-compatibility/2006" xmlns:a14="http://schemas.microsoft.com/office/drawing/2010/main" val="FFFFFF" mc:Ignorable="a14" a14:legacySpreadsheetColorIndex="9">
            <a:alpha val="46001"/>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527050</xdr:colOff>
      <xdr:row>71</xdr:row>
      <xdr:rowOff>152400</xdr:rowOff>
    </xdr:from>
    <xdr:to>
      <xdr:col>2</xdr:col>
      <xdr:colOff>908050</xdr:colOff>
      <xdr:row>75</xdr:row>
      <xdr:rowOff>76200</xdr:rowOff>
    </xdr:to>
    <xdr:sp macro="" textlink="">
      <xdr:nvSpPr>
        <xdr:cNvPr id="26171" name="AutoShape 571">
          <a:extLst>
            <a:ext uri="{FF2B5EF4-FFF2-40B4-BE49-F238E27FC236}">
              <a16:creationId xmlns:a16="http://schemas.microsoft.com/office/drawing/2014/main" id="{00000000-0008-0000-1300-00003B660000}"/>
            </a:ext>
          </a:extLst>
        </xdr:cNvPr>
        <xdr:cNvSpPr>
          <a:spLocks noChangeArrowheads="1"/>
        </xdr:cNvSpPr>
      </xdr:nvSpPr>
      <xdr:spPr bwMode="auto">
        <a:xfrm>
          <a:off x="666750" y="11309350"/>
          <a:ext cx="381000" cy="400050"/>
        </a:xfrm>
        <a:prstGeom prst="upArrow">
          <a:avLst>
            <a:gd name="adj1" fmla="val 50000"/>
            <a:gd name="adj2" fmla="val 2625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101600</xdr:colOff>
      <xdr:row>0</xdr:row>
      <xdr:rowOff>25400</xdr:rowOff>
    </xdr:from>
    <xdr:to>
      <xdr:col>8</xdr:col>
      <xdr:colOff>50800</xdr:colOff>
      <xdr:row>1</xdr:row>
      <xdr:rowOff>76200</xdr:rowOff>
    </xdr:to>
    <xdr:pic>
      <xdr:nvPicPr>
        <xdr:cNvPr id="26177" name="hyper_index_14">
          <a:hlinkClick xmlns:r="http://schemas.openxmlformats.org/officeDocument/2006/relationships" r:id="rId2"/>
          <a:extLst>
            <a:ext uri="{FF2B5EF4-FFF2-40B4-BE49-F238E27FC236}">
              <a16:creationId xmlns:a16="http://schemas.microsoft.com/office/drawing/2014/main" id="{00000000-0008-0000-1300-00004166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780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26178" name="left_arrow_14">
          <a:hlinkClick xmlns:r="http://schemas.openxmlformats.org/officeDocument/2006/relationships" r:id="rId4"/>
          <a:extLst>
            <a:ext uri="{FF2B5EF4-FFF2-40B4-BE49-F238E27FC236}">
              <a16:creationId xmlns:a16="http://schemas.microsoft.com/office/drawing/2014/main" id="{00000000-0008-0000-1300-00004266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147</xdr:row>
      <xdr:rowOff>101600</xdr:rowOff>
    </xdr:from>
    <xdr:to>
      <xdr:col>2</xdr:col>
      <xdr:colOff>241300</xdr:colOff>
      <xdr:row>149</xdr:row>
      <xdr:rowOff>6350</xdr:rowOff>
    </xdr:to>
    <xdr:sp macro="" textlink="">
      <xdr:nvSpPr>
        <xdr:cNvPr id="26179" name="left_arrow_1_14">
          <a:hlinkClick xmlns:r="http://schemas.openxmlformats.org/officeDocument/2006/relationships" r:id="rId4"/>
          <a:extLst>
            <a:ext uri="{FF2B5EF4-FFF2-40B4-BE49-F238E27FC236}">
              <a16:creationId xmlns:a16="http://schemas.microsoft.com/office/drawing/2014/main" id="{00000000-0008-0000-1300-000043660000}"/>
            </a:ext>
          </a:extLst>
        </xdr:cNvPr>
        <xdr:cNvSpPr>
          <a:spLocks noChangeArrowheads="1"/>
        </xdr:cNvSpPr>
      </xdr:nvSpPr>
      <xdr:spPr bwMode="auto">
        <a:xfrm rot="10800000">
          <a:off x="158750" y="232029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565150</xdr:colOff>
      <xdr:row>0</xdr:row>
      <xdr:rowOff>44450</xdr:rowOff>
    </xdr:from>
    <xdr:to>
      <xdr:col>13</xdr:col>
      <xdr:colOff>31750</xdr:colOff>
      <xdr:row>1</xdr:row>
      <xdr:rowOff>114300</xdr:rowOff>
    </xdr:to>
    <xdr:sp macro="" textlink="">
      <xdr:nvSpPr>
        <xdr:cNvPr id="26180" name="right_arrow_14">
          <a:hlinkClick xmlns:r="http://schemas.openxmlformats.org/officeDocument/2006/relationships" r:id="rId5"/>
          <a:extLst>
            <a:ext uri="{FF2B5EF4-FFF2-40B4-BE49-F238E27FC236}">
              <a16:creationId xmlns:a16="http://schemas.microsoft.com/office/drawing/2014/main" id="{00000000-0008-0000-1300-000044660000}"/>
            </a:ext>
          </a:extLst>
        </xdr:cNvPr>
        <xdr:cNvSpPr>
          <a:spLocks noChangeArrowheads="1"/>
        </xdr:cNvSpPr>
      </xdr:nvSpPr>
      <xdr:spPr bwMode="auto">
        <a:xfrm>
          <a:off x="82296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565150</xdr:colOff>
      <xdr:row>147</xdr:row>
      <xdr:rowOff>101600</xdr:rowOff>
    </xdr:from>
    <xdr:to>
      <xdr:col>13</xdr:col>
      <xdr:colOff>31750</xdr:colOff>
      <xdr:row>149</xdr:row>
      <xdr:rowOff>6350</xdr:rowOff>
    </xdr:to>
    <xdr:sp macro="" textlink="">
      <xdr:nvSpPr>
        <xdr:cNvPr id="26181" name="right_arrow_1_14">
          <a:hlinkClick xmlns:r="http://schemas.openxmlformats.org/officeDocument/2006/relationships" r:id="rId5"/>
          <a:extLst>
            <a:ext uri="{FF2B5EF4-FFF2-40B4-BE49-F238E27FC236}">
              <a16:creationId xmlns:a16="http://schemas.microsoft.com/office/drawing/2014/main" id="{00000000-0008-0000-1300-000045660000}"/>
            </a:ext>
          </a:extLst>
        </xdr:cNvPr>
        <xdr:cNvSpPr>
          <a:spLocks noChangeArrowheads="1"/>
        </xdr:cNvSpPr>
      </xdr:nvSpPr>
      <xdr:spPr bwMode="auto">
        <a:xfrm>
          <a:off x="8229600" y="232029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82550</xdr:colOff>
      <xdr:row>50</xdr:row>
      <xdr:rowOff>6350</xdr:rowOff>
    </xdr:from>
    <xdr:to>
      <xdr:col>10</xdr:col>
      <xdr:colOff>520700</xdr:colOff>
      <xdr:row>64</xdr:row>
      <xdr:rowOff>95250</xdr:rowOff>
    </xdr:to>
    <xdr:pic>
      <xdr:nvPicPr>
        <xdr:cNvPr id="27649" name="Picture 1">
          <a:extLst>
            <a:ext uri="{FF2B5EF4-FFF2-40B4-BE49-F238E27FC236}">
              <a16:creationId xmlns:a16="http://schemas.microsoft.com/office/drawing/2014/main" id="{00000000-0008-0000-1500-000001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7962900"/>
          <a:ext cx="4616450" cy="231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82550</xdr:colOff>
      <xdr:row>15</xdr:row>
      <xdr:rowOff>82550</xdr:rowOff>
    </xdr:from>
    <xdr:to>
      <xdr:col>13</xdr:col>
      <xdr:colOff>590550</xdr:colOff>
      <xdr:row>18</xdr:row>
      <xdr:rowOff>0</xdr:rowOff>
    </xdr:to>
    <xdr:pic>
      <xdr:nvPicPr>
        <xdr:cNvPr id="27650" name="Picture 2">
          <a:extLst>
            <a:ext uri="{FF2B5EF4-FFF2-40B4-BE49-F238E27FC236}">
              <a16:creationId xmlns:a16="http://schemas.microsoft.com/office/drawing/2014/main" id="{00000000-0008-0000-1500-0000026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2250" y="2482850"/>
          <a:ext cx="661035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101600</xdr:colOff>
      <xdr:row>29</xdr:row>
      <xdr:rowOff>133350</xdr:rowOff>
    </xdr:from>
    <xdr:to>
      <xdr:col>6</xdr:col>
      <xdr:colOff>120650</xdr:colOff>
      <xdr:row>42</xdr:row>
      <xdr:rowOff>133350</xdr:rowOff>
    </xdr:to>
    <xdr:pic>
      <xdr:nvPicPr>
        <xdr:cNvPr id="27651" name="Picture 3">
          <a:extLst>
            <a:ext uri="{FF2B5EF4-FFF2-40B4-BE49-F238E27FC236}">
              <a16:creationId xmlns:a16="http://schemas.microsoft.com/office/drawing/2014/main" id="{00000000-0008-0000-1500-0000036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3700" y="4756150"/>
          <a:ext cx="1943100" cy="206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139700</xdr:colOff>
      <xdr:row>20</xdr:row>
      <xdr:rowOff>114300</xdr:rowOff>
    </xdr:from>
    <xdr:to>
      <xdr:col>4</xdr:col>
      <xdr:colOff>323850</xdr:colOff>
      <xdr:row>26</xdr:row>
      <xdr:rowOff>6350</xdr:rowOff>
    </xdr:to>
    <xdr:pic>
      <xdr:nvPicPr>
        <xdr:cNvPr id="27652" name="Picture 4">
          <a:extLst>
            <a:ext uri="{FF2B5EF4-FFF2-40B4-BE49-F238E27FC236}">
              <a16:creationId xmlns:a16="http://schemas.microsoft.com/office/drawing/2014/main" id="{00000000-0008-0000-1500-0000046C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800" y="3308350"/>
          <a:ext cx="825500" cy="8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158750</xdr:colOff>
      <xdr:row>0</xdr:row>
      <xdr:rowOff>25400</xdr:rowOff>
    </xdr:from>
    <xdr:to>
      <xdr:col>20</xdr:col>
      <xdr:colOff>209550</xdr:colOff>
      <xdr:row>1</xdr:row>
      <xdr:rowOff>76200</xdr:rowOff>
    </xdr:to>
    <xdr:pic>
      <xdr:nvPicPr>
        <xdr:cNvPr id="57424" name="hyper_index_15">
          <a:hlinkClick xmlns:r="http://schemas.openxmlformats.org/officeDocument/2006/relationships" r:id="rId1"/>
          <a:extLst>
            <a:ext uri="{FF2B5EF4-FFF2-40B4-BE49-F238E27FC236}">
              <a16:creationId xmlns:a16="http://schemas.microsoft.com/office/drawing/2014/main" id="{00000000-0008-0000-1600-000050E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7800" y="25400"/>
          <a:ext cx="7175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57425" name="left_arrow_15">
          <a:hlinkClick xmlns:r="http://schemas.openxmlformats.org/officeDocument/2006/relationships" r:id="rId3"/>
          <a:extLst>
            <a:ext uri="{FF2B5EF4-FFF2-40B4-BE49-F238E27FC236}">
              <a16:creationId xmlns:a16="http://schemas.microsoft.com/office/drawing/2014/main" id="{00000000-0008-0000-1600-000051E0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31</xdr:row>
      <xdr:rowOff>101600</xdr:rowOff>
    </xdr:from>
    <xdr:to>
      <xdr:col>2</xdr:col>
      <xdr:colOff>241300</xdr:colOff>
      <xdr:row>33</xdr:row>
      <xdr:rowOff>6350</xdr:rowOff>
    </xdr:to>
    <xdr:sp macro="" textlink="">
      <xdr:nvSpPr>
        <xdr:cNvPr id="57426" name="left_arrow_1_15">
          <a:hlinkClick xmlns:r="http://schemas.openxmlformats.org/officeDocument/2006/relationships" r:id="rId3"/>
          <a:extLst>
            <a:ext uri="{FF2B5EF4-FFF2-40B4-BE49-F238E27FC236}">
              <a16:creationId xmlns:a16="http://schemas.microsoft.com/office/drawing/2014/main" id="{00000000-0008-0000-1600-000052E00000}"/>
            </a:ext>
          </a:extLst>
        </xdr:cNvPr>
        <xdr:cNvSpPr>
          <a:spLocks noChangeArrowheads="1"/>
        </xdr:cNvSpPr>
      </xdr:nvSpPr>
      <xdr:spPr bwMode="auto">
        <a:xfrm rot="10800000">
          <a:off x="158750" y="51054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37</xdr:col>
      <xdr:colOff>31750</xdr:colOff>
      <xdr:row>0</xdr:row>
      <xdr:rowOff>44450</xdr:rowOff>
    </xdr:from>
    <xdr:to>
      <xdr:col>38</xdr:col>
      <xdr:colOff>31750</xdr:colOff>
      <xdr:row>1</xdr:row>
      <xdr:rowOff>114300</xdr:rowOff>
    </xdr:to>
    <xdr:sp macro="" textlink="">
      <xdr:nvSpPr>
        <xdr:cNvPr id="57427" name="right_arrow_15">
          <a:hlinkClick xmlns:r="http://schemas.openxmlformats.org/officeDocument/2006/relationships" r:id="rId4"/>
          <a:extLst>
            <a:ext uri="{FF2B5EF4-FFF2-40B4-BE49-F238E27FC236}">
              <a16:creationId xmlns:a16="http://schemas.microsoft.com/office/drawing/2014/main" id="{00000000-0008-0000-1600-000053E00000}"/>
            </a:ext>
          </a:extLst>
        </xdr:cNvPr>
        <xdr:cNvSpPr>
          <a:spLocks noChangeArrowheads="1"/>
        </xdr:cNvSpPr>
      </xdr:nvSpPr>
      <xdr:spPr bwMode="auto">
        <a:xfrm>
          <a:off x="83058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37</xdr:col>
      <xdr:colOff>31750</xdr:colOff>
      <xdr:row>31</xdr:row>
      <xdr:rowOff>101600</xdr:rowOff>
    </xdr:from>
    <xdr:to>
      <xdr:col>38</xdr:col>
      <xdr:colOff>31750</xdr:colOff>
      <xdr:row>33</xdr:row>
      <xdr:rowOff>6350</xdr:rowOff>
    </xdr:to>
    <xdr:sp macro="" textlink="">
      <xdr:nvSpPr>
        <xdr:cNvPr id="57428" name="right_arrow_1_15">
          <a:hlinkClick xmlns:r="http://schemas.openxmlformats.org/officeDocument/2006/relationships" r:id="rId4"/>
          <a:extLst>
            <a:ext uri="{FF2B5EF4-FFF2-40B4-BE49-F238E27FC236}">
              <a16:creationId xmlns:a16="http://schemas.microsoft.com/office/drawing/2014/main" id="{00000000-0008-0000-1600-000054E00000}"/>
            </a:ext>
          </a:extLst>
        </xdr:cNvPr>
        <xdr:cNvSpPr>
          <a:spLocks noChangeArrowheads="1"/>
        </xdr:cNvSpPr>
      </xdr:nvSpPr>
      <xdr:spPr bwMode="auto">
        <a:xfrm>
          <a:off x="8305800" y="51054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247650</xdr:colOff>
      <xdr:row>12</xdr:row>
      <xdr:rowOff>0</xdr:rowOff>
    </xdr:from>
    <xdr:to>
      <xdr:col>13</xdr:col>
      <xdr:colOff>584200</xdr:colOff>
      <xdr:row>34</xdr:row>
      <xdr:rowOff>133350</xdr:rowOff>
    </xdr:to>
    <xdr:graphicFrame macro="">
      <xdr:nvGraphicFramePr>
        <xdr:cNvPr id="64513" name="Chart 1">
          <a:extLst>
            <a:ext uri="{FF2B5EF4-FFF2-40B4-BE49-F238E27FC236}">
              <a16:creationId xmlns:a16="http://schemas.microsoft.com/office/drawing/2014/main" id="{00000000-0008-0000-1700-000001F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406400</xdr:colOff>
          <xdr:row>14</xdr:row>
          <xdr:rowOff>19050</xdr:rowOff>
        </xdr:from>
        <xdr:to>
          <xdr:col>6</xdr:col>
          <xdr:colOff>222250</xdr:colOff>
          <xdr:row>15</xdr:row>
          <xdr:rowOff>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17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406400</xdr:colOff>
          <xdr:row>13</xdr:row>
          <xdr:rowOff>31750</xdr:rowOff>
        </xdr:from>
        <xdr:to>
          <xdr:col>6</xdr:col>
          <xdr:colOff>38100</xdr:colOff>
          <xdr:row>14</xdr:row>
          <xdr:rowOff>6350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17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361950</xdr:colOff>
      <xdr:row>0</xdr:row>
      <xdr:rowOff>25400</xdr:rowOff>
    </xdr:from>
    <xdr:to>
      <xdr:col>8</xdr:col>
      <xdr:colOff>368300</xdr:colOff>
      <xdr:row>1</xdr:row>
      <xdr:rowOff>76200</xdr:rowOff>
    </xdr:to>
    <xdr:pic>
      <xdr:nvPicPr>
        <xdr:cNvPr id="64521" name="hyper_index_16">
          <a:hlinkClick xmlns:r="http://schemas.openxmlformats.org/officeDocument/2006/relationships" r:id="rId2"/>
          <a:extLst>
            <a:ext uri="{FF2B5EF4-FFF2-40B4-BE49-F238E27FC236}">
              <a16:creationId xmlns:a16="http://schemas.microsoft.com/office/drawing/2014/main" id="{00000000-0008-0000-1700-000009F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9415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64522" name="left_arrow_16">
          <a:hlinkClick xmlns:r="http://schemas.openxmlformats.org/officeDocument/2006/relationships" r:id="rId4"/>
          <a:extLst>
            <a:ext uri="{FF2B5EF4-FFF2-40B4-BE49-F238E27FC236}">
              <a16:creationId xmlns:a16="http://schemas.microsoft.com/office/drawing/2014/main" id="{00000000-0008-0000-1700-00000AFC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37</xdr:row>
      <xdr:rowOff>101600</xdr:rowOff>
    </xdr:from>
    <xdr:to>
      <xdr:col>2</xdr:col>
      <xdr:colOff>241300</xdr:colOff>
      <xdr:row>39</xdr:row>
      <xdr:rowOff>6350</xdr:rowOff>
    </xdr:to>
    <xdr:sp macro="" textlink="">
      <xdr:nvSpPr>
        <xdr:cNvPr id="64523" name="left_arrow_1_16">
          <a:hlinkClick xmlns:r="http://schemas.openxmlformats.org/officeDocument/2006/relationships" r:id="rId4"/>
          <a:extLst>
            <a:ext uri="{FF2B5EF4-FFF2-40B4-BE49-F238E27FC236}">
              <a16:creationId xmlns:a16="http://schemas.microsoft.com/office/drawing/2014/main" id="{00000000-0008-0000-1700-00000BFC0000}"/>
            </a:ext>
          </a:extLst>
        </xdr:cNvPr>
        <xdr:cNvSpPr>
          <a:spLocks noChangeArrowheads="1"/>
        </xdr:cNvSpPr>
      </xdr:nvSpPr>
      <xdr:spPr bwMode="auto">
        <a:xfrm rot="10800000">
          <a:off x="158750" y="61912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476250</xdr:colOff>
      <xdr:row>0</xdr:row>
      <xdr:rowOff>44450</xdr:rowOff>
    </xdr:from>
    <xdr:to>
      <xdr:col>14</xdr:col>
      <xdr:colOff>31750</xdr:colOff>
      <xdr:row>1</xdr:row>
      <xdr:rowOff>114300</xdr:rowOff>
    </xdr:to>
    <xdr:sp macro="" textlink="">
      <xdr:nvSpPr>
        <xdr:cNvPr id="64524" name="right_arrow_16">
          <a:hlinkClick xmlns:r="http://schemas.openxmlformats.org/officeDocument/2006/relationships" r:id="rId5"/>
          <a:extLst>
            <a:ext uri="{FF2B5EF4-FFF2-40B4-BE49-F238E27FC236}">
              <a16:creationId xmlns:a16="http://schemas.microsoft.com/office/drawing/2014/main" id="{00000000-0008-0000-1700-00000CFC0000}"/>
            </a:ext>
          </a:extLst>
        </xdr:cNvPr>
        <xdr:cNvSpPr>
          <a:spLocks noChangeArrowheads="1"/>
        </xdr:cNvSpPr>
      </xdr:nvSpPr>
      <xdr:spPr bwMode="auto">
        <a:xfrm>
          <a:off x="82486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476250</xdr:colOff>
      <xdr:row>37</xdr:row>
      <xdr:rowOff>101600</xdr:rowOff>
    </xdr:from>
    <xdr:to>
      <xdr:col>14</xdr:col>
      <xdr:colOff>31750</xdr:colOff>
      <xdr:row>39</xdr:row>
      <xdr:rowOff>6350</xdr:rowOff>
    </xdr:to>
    <xdr:sp macro="" textlink="">
      <xdr:nvSpPr>
        <xdr:cNvPr id="64525" name="right_arrow_1_16">
          <a:hlinkClick xmlns:r="http://schemas.openxmlformats.org/officeDocument/2006/relationships" r:id="rId5"/>
          <a:extLst>
            <a:ext uri="{FF2B5EF4-FFF2-40B4-BE49-F238E27FC236}">
              <a16:creationId xmlns:a16="http://schemas.microsoft.com/office/drawing/2014/main" id="{00000000-0008-0000-1700-00000DFC0000}"/>
            </a:ext>
          </a:extLst>
        </xdr:cNvPr>
        <xdr:cNvSpPr>
          <a:spLocks noChangeArrowheads="1"/>
        </xdr:cNvSpPr>
      </xdr:nvSpPr>
      <xdr:spPr bwMode="auto">
        <a:xfrm>
          <a:off x="8248650" y="61912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37</xdr:row>
      <xdr:rowOff>38100</xdr:rowOff>
    </xdr:from>
    <xdr:to>
      <xdr:col>13</xdr:col>
      <xdr:colOff>0</xdr:colOff>
      <xdr:row>53</xdr:row>
      <xdr:rowOff>25400</xdr:rowOff>
    </xdr:to>
    <xdr:graphicFrame macro="">
      <xdr:nvGraphicFramePr>
        <xdr:cNvPr id="60417" name="chart_tornado">
          <a:extLst>
            <a:ext uri="{FF2B5EF4-FFF2-40B4-BE49-F238E27FC236}">
              <a16:creationId xmlns:a16="http://schemas.microsoft.com/office/drawing/2014/main" id="{00000000-0008-0000-1900-000001E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196850</xdr:colOff>
      <xdr:row>17</xdr:row>
      <xdr:rowOff>0</xdr:rowOff>
    </xdr:from>
    <xdr:to>
      <xdr:col>6</xdr:col>
      <xdr:colOff>577850</xdr:colOff>
      <xdr:row>18</xdr:row>
      <xdr:rowOff>6350</xdr:rowOff>
    </xdr:to>
    <xdr:sp macro="" textlink="">
      <xdr:nvSpPr>
        <xdr:cNvPr id="60559" name="AutoShape 143">
          <a:extLst>
            <a:ext uri="{FF2B5EF4-FFF2-40B4-BE49-F238E27FC236}">
              <a16:creationId xmlns:a16="http://schemas.microsoft.com/office/drawing/2014/main" id="{00000000-0008-0000-1900-00008FEC0000}"/>
            </a:ext>
          </a:extLst>
        </xdr:cNvPr>
        <xdr:cNvSpPr>
          <a:spLocks noChangeArrowheads="1"/>
        </xdr:cNvSpPr>
      </xdr:nvSpPr>
      <xdr:spPr bwMode="auto">
        <a:xfrm>
          <a:off x="4381500" y="2762250"/>
          <a:ext cx="381000" cy="165100"/>
        </a:xfrm>
        <a:prstGeom prst="upArrow">
          <a:avLst>
            <a:gd name="adj1" fmla="val 50000"/>
            <a:gd name="adj2" fmla="val 25000"/>
          </a:avLst>
        </a:prstGeom>
        <a:pattFill prst="ltHorz">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400050</xdr:colOff>
      <xdr:row>0</xdr:row>
      <xdr:rowOff>25400</xdr:rowOff>
    </xdr:from>
    <xdr:to>
      <xdr:col>6</xdr:col>
      <xdr:colOff>508000</xdr:colOff>
      <xdr:row>1</xdr:row>
      <xdr:rowOff>76200</xdr:rowOff>
    </xdr:to>
    <xdr:pic>
      <xdr:nvPicPr>
        <xdr:cNvPr id="60563" name="hyper_index_17">
          <a:hlinkClick xmlns:r="http://schemas.openxmlformats.org/officeDocument/2006/relationships" r:id="rId2"/>
          <a:extLst>
            <a:ext uri="{FF2B5EF4-FFF2-40B4-BE49-F238E27FC236}">
              <a16:creationId xmlns:a16="http://schemas.microsoft.com/office/drawing/2014/main" id="{00000000-0008-0000-1900-000093EC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780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60564" name="left_arrow_17">
          <a:hlinkClick xmlns:r="http://schemas.openxmlformats.org/officeDocument/2006/relationships" r:id="rId4"/>
          <a:extLst>
            <a:ext uri="{FF2B5EF4-FFF2-40B4-BE49-F238E27FC236}">
              <a16:creationId xmlns:a16="http://schemas.microsoft.com/office/drawing/2014/main" id="{00000000-0008-0000-1900-000094EC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128</xdr:row>
      <xdr:rowOff>101600</xdr:rowOff>
    </xdr:from>
    <xdr:to>
      <xdr:col>2</xdr:col>
      <xdr:colOff>241300</xdr:colOff>
      <xdr:row>130</xdr:row>
      <xdr:rowOff>6350</xdr:rowOff>
    </xdr:to>
    <xdr:sp macro="" textlink="">
      <xdr:nvSpPr>
        <xdr:cNvPr id="60565" name="left_arrow_1_17">
          <a:hlinkClick xmlns:r="http://schemas.openxmlformats.org/officeDocument/2006/relationships" r:id="rId4"/>
          <a:extLst>
            <a:ext uri="{FF2B5EF4-FFF2-40B4-BE49-F238E27FC236}">
              <a16:creationId xmlns:a16="http://schemas.microsoft.com/office/drawing/2014/main" id="{00000000-0008-0000-1900-000095EC0000}"/>
            </a:ext>
          </a:extLst>
        </xdr:cNvPr>
        <xdr:cNvSpPr>
          <a:spLocks noChangeArrowheads="1"/>
        </xdr:cNvSpPr>
      </xdr:nvSpPr>
      <xdr:spPr bwMode="auto">
        <a:xfrm rot="10800000">
          <a:off x="158750" y="20205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406400</xdr:colOff>
      <xdr:row>0</xdr:row>
      <xdr:rowOff>44450</xdr:rowOff>
    </xdr:from>
    <xdr:to>
      <xdr:col>13</xdr:col>
      <xdr:colOff>31750</xdr:colOff>
      <xdr:row>1</xdr:row>
      <xdr:rowOff>114300</xdr:rowOff>
    </xdr:to>
    <xdr:sp macro="" textlink="">
      <xdr:nvSpPr>
        <xdr:cNvPr id="60566" name="right_arrow_17">
          <a:hlinkClick xmlns:r="http://schemas.openxmlformats.org/officeDocument/2006/relationships" r:id="rId5"/>
          <a:extLst>
            <a:ext uri="{FF2B5EF4-FFF2-40B4-BE49-F238E27FC236}">
              <a16:creationId xmlns:a16="http://schemas.microsoft.com/office/drawing/2014/main" id="{00000000-0008-0000-1900-000096EC0000}"/>
            </a:ext>
          </a:extLst>
        </xdr:cNvPr>
        <xdr:cNvSpPr>
          <a:spLocks noChangeArrowheads="1"/>
        </xdr:cNvSpPr>
      </xdr:nvSpPr>
      <xdr:spPr bwMode="auto">
        <a:xfrm>
          <a:off x="82359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406400</xdr:colOff>
      <xdr:row>128</xdr:row>
      <xdr:rowOff>101600</xdr:rowOff>
    </xdr:from>
    <xdr:to>
      <xdr:col>13</xdr:col>
      <xdr:colOff>31750</xdr:colOff>
      <xdr:row>130</xdr:row>
      <xdr:rowOff>6350</xdr:rowOff>
    </xdr:to>
    <xdr:sp macro="" textlink="">
      <xdr:nvSpPr>
        <xdr:cNvPr id="60567" name="right_arrow_1_17">
          <a:hlinkClick xmlns:r="http://schemas.openxmlformats.org/officeDocument/2006/relationships" r:id="rId5"/>
          <a:extLst>
            <a:ext uri="{FF2B5EF4-FFF2-40B4-BE49-F238E27FC236}">
              <a16:creationId xmlns:a16="http://schemas.microsoft.com/office/drawing/2014/main" id="{00000000-0008-0000-1900-000097EC0000}"/>
            </a:ext>
          </a:extLst>
        </xdr:cNvPr>
        <xdr:cNvSpPr>
          <a:spLocks noChangeArrowheads="1"/>
        </xdr:cNvSpPr>
      </xdr:nvSpPr>
      <xdr:spPr bwMode="auto">
        <a:xfrm>
          <a:off x="8235950" y="20205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101600</xdr:colOff>
          <xdr:row>19</xdr:row>
          <xdr:rowOff>0</xdr:rowOff>
        </xdr:from>
        <xdr:to>
          <xdr:col>6</xdr:col>
          <xdr:colOff>419100</xdr:colOff>
          <xdr:row>20</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C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20</xdr:row>
          <xdr:rowOff>0</xdr:rowOff>
        </xdr:from>
        <xdr:to>
          <xdr:col>6</xdr:col>
          <xdr:colOff>419100</xdr:colOff>
          <xdr:row>21</xdr:row>
          <xdr:rowOff>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1C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21</xdr:row>
          <xdr:rowOff>0</xdr:rowOff>
        </xdr:from>
        <xdr:to>
          <xdr:col>6</xdr:col>
          <xdr:colOff>419100</xdr:colOff>
          <xdr:row>22</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1C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1257300</xdr:colOff>
      <xdr:row>24</xdr:row>
      <xdr:rowOff>0</xdr:rowOff>
    </xdr:from>
    <xdr:to>
      <xdr:col>10</xdr:col>
      <xdr:colOff>520700</xdr:colOff>
      <xdr:row>44</xdr:row>
      <xdr:rowOff>0</xdr:rowOff>
    </xdr:to>
    <xdr:graphicFrame macro="">
      <xdr:nvGraphicFramePr>
        <xdr:cNvPr id="15369" name="Chart 9">
          <a:extLst>
            <a:ext uri="{FF2B5EF4-FFF2-40B4-BE49-F238E27FC236}">
              <a16:creationId xmlns:a16="http://schemas.microsoft.com/office/drawing/2014/main" id="{00000000-0008-0000-1C00-0000093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101600</xdr:colOff>
          <xdr:row>22</xdr:row>
          <xdr:rowOff>0</xdr:rowOff>
        </xdr:from>
        <xdr:to>
          <xdr:col>6</xdr:col>
          <xdr:colOff>508000</xdr:colOff>
          <xdr:row>23</xdr:row>
          <xdr:rowOff>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1C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AU" sz="800" b="0" i="0" u="none" strike="noStrike" baseline="0">
                  <a:solidFill>
                    <a:srgbClr val="000000"/>
                  </a:solidFill>
                  <a:latin typeface="Tahoma"/>
                  <a:ea typeface="Tahoma"/>
                  <a:cs typeface="Tahoma"/>
                </a:rPr>
                <a:t> </a:t>
              </a:r>
            </a:p>
          </xdr:txBody>
        </xdr:sp>
        <xdr:clientData/>
      </xdr:twoCellAnchor>
    </mc:Choice>
    <mc:Fallback/>
  </mc:AlternateContent>
  <xdr:twoCellAnchor editAs="oneCell">
    <xdr:from>
      <xdr:col>6</xdr:col>
      <xdr:colOff>107950</xdr:colOff>
      <xdr:row>0</xdr:row>
      <xdr:rowOff>25400</xdr:rowOff>
    </xdr:from>
    <xdr:to>
      <xdr:col>7</xdr:col>
      <xdr:colOff>50800</xdr:colOff>
      <xdr:row>1</xdr:row>
      <xdr:rowOff>76200</xdr:rowOff>
    </xdr:to>
    <xdr:pic>
      <xdr:nvPicPr>
        <xdr:cNvPr id="15797" name="hyper_index_18">
          <a:hlinkClick xmlns:r="http://schemas.openxmlformats.org/officeDocument/2006/relationships" r:id="rId2"/>
          <a:extLst>
            <a:ext uri="{FF2B5EF4-FFF2-40B4-BE49-F238E27FC236}">
              <a16:creationId xmlns:a16="http://schemas.microsoft.com/office/drawing/2014/main" id="{00000000-0008-0000-1C00-0000B53D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78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15798" name="left_arrow_18">
          <a:hlinkClick xmlns:r="http://schemas.openxmlformats.org/officeDocument/2006/relationships" r:id="rId4"/>
          <a:extLst>
            <a:ext uri="{FF2B5EF4-FFF2-40B4-BE49-F238E27FC236}">
              <a16:creationId xmlns:a16="http://schemas.microsoft.com/office/drawing/2014/main" id="{00000000-0008-0000-1C00-0000B63D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46</xdr:row>
      <xdr:rowOff>101600</xdr:rowOff>
    </xdr:from>
    <xdr:to>
      <xdr:col>2</xdr:col>
      <xdr:colOff>241300</xdr:colOff>
      <xdr:row>48</xdr:row>
      <xdr:rowOff>6350</xdr:rowOff>
    </xdr:to>
    <xdr:sp macro="" textlink="">
      <xdr:nvSpPr>
        <xdr:cNvPr id="15799" name="left_arrow_1_18">
          <a:hlinkClick xmlns:r="http://schemas.openxmlformats.org/officeDocument/2006/relationships" r:id="rId4"/>
          <a:extLst>
            <a:ext uri="{FF2B5EF4-FFF2-40B4-BE49-F238E27FC236}">
              <a16:creationId xmlns:a16="http://schemas.microsoft.com/office/drawing/2014/main" id="{00000000-0008-0000-1C00-0000B73D0000}"/>
            </a:ext>
          </a:extLst>
        </xdr:cNvPr>
        <xdr:cNvSpPr>
          <a:spLocks noChangeArrowheads="1"/>
        </xdr:cNvSpPr>
      </xdr:nvSpPr>
      <xdr:spPr bwMode="auto">
        <a:xfrm rot="10800000">
          <a:off x="158750" y="8242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666750</xdr:colOff>
      <xdr:row>0</xdr:row>
      <xdr:rowOff>44450</xdr:rowOff>
    </xdr:from>
    <xdr:to>
      <xdr:col>13</xdr:col>
      <xdr:colOff>31750</xdr:colOff>
      <xdr:row>1</xdr:row>
      <xdr:rowOff>114300</xdr:rowOff>
    </xdr:to>
    <xdr:sp macro="" textlink="">
      <xdr:nvSpPr>
        <xdr:cNvPr id="15800" name="right_arrow_18">
          <a:hlinkClick xmlns:r="http://schemas.openxmlformats.org/officeDocument/2006/relationships" r:id="rId5"/>
          <a:extLst>
            <a:ext uri="{FF2B5EF4-FFF2-40B4-BE49-F238E27FC236}">
              <a16:creationId xmlns:a16="http://schemas.microsoft.com/office/drawing/2014/main" id="{00000000-0008-0000-1C00-0000B83D0000}"/>
            </a:ext>
          </a:extLst>
        </xdr:cNvPr>
        <xdr:cNvSpPr>
          <a:spLocks noChangeArrowheads="1"/>
        </xdr:cNvSpPr>
      </xdr:nvSpPr>
      <xdr:spPr bwMode="auto">
        <a:xfrm>
          <a:off x="82486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666750</xdr:colOff>
      <xdr:row>46</xdr:row>
      <xdr:rowOff>101600</xdr:rowOff>
    </xdr:from>
    <xdr:to>
      <xdr:col>13</xdr:col>
      <xdr:colOff>31750</xdr:colOff>
      <xdr:row>48</xdr:row>
      <xdr:rowOff>6350</xdr:rowOff>
    </xdr:to>
    <xdr:sp macro="" textlink="">
      <xdr:nvSpPr>
        <xdr:cNvPr id="15801" name="right_arrow_1_18">
          <a:hlinkClick xmlns:r="http://schemas.openxmlformats.org/officeDocument/2006/relationships" r:id="rId5"/>
          <a:extLst>
            <a:ext uri="{FF2B5EF4-FFF2-40B4-BE49-F238E27FC236}">
              <a16:creationId xmlns:a16="http://schemas.microsoft.com/office/drawing/2014/main" id="{00000000-0008-0000-1C00-0000B93D0000}"/>
            </a:ext>
          </a:extLst>
        </xdr:cNvPr>
        <xdr:cNvSpPr>
          <a:spLocks noChangeArrowheads="1"/>
        </xdr:cNvSpPr>
      </xdr:nvSpPr>
      <xdr:spPr bwMode="auto">
        <a:xfrm>
          <a:off x="8248650" y="8242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44450</xdr:rowOff>
    </xdr:from>
    <xdr:to>
      <xdr:col>3</xdr:col>
      <xdr:colOff>57150</xdr:colOff>
      <xdr:row>1</xdr:row>
      <xdr:rowOff>114300</xdr:rowOff>
    </xdr:to>
    <xdr:sp macro="" textlink="">
      <xdr:nvSpPr>
        <xdr:cNvPr id="22701" name="left_arrow_2">
          <a:hlinkClick xmlns:r="http://schemas.openxmlformats.org/officeDocument/2006/relationships" r:id="rId1"/>
          <a:extLst>
            <a:ext uri="{FF2B5EF4-FFF2-40B4-BE49-F238E27FC236}">
              <a16:creationId xmlns:a16="http://schemas.microsoft.com/office/drawing/2014/main" id="{00000000-0008-0000-0100-0000AD580000}"/>
            </a:ext>
          </a:extLst>
        </xdr:cNvPr>
        <xdr:cNvSpPr>
          <a:spLocks noChangeArrowheads="1"/>
        </xdr:cNvSpPr>
      </xdr:nvSpPr>
      <xdr:spPr bwMode="auto">
        <a:xfrm rot="10800000">
          <a:off x="158750" y="44450"/>
          <a:ext cx="21590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73</xdr:row>
      <xdr:rowOff>114300</xdr:rowOff>
    </xdr:from>
    <xdr:to>
      <xdr:col>3</xdr:col>
      <xdr:colOff>57150</xdr:colOff>
      <xdr:row>75</xdr:row>
      <xdr:rowOff>6350</xdr:rowOff>
    </xdr:to>
    <xdr:sp macro="" textlink="">
      <xdr:nvSpPr>
        <xdr:cNvPr id="22702" name="left_arrow_1_2">
          <a:hlinkClick xmlns:r="http://schemas.openxmlformats.org/officeDocument/2006/relationships" r:id="rId1"/>
          <a:extLst>
            <a:ext uri="{FF2B5EF4-FFF2-40B4-BE49-F238E27FC236}">
              <a16:creationId xmlns:a16="http://schemas.microsoft.com/office/drawing/2014/main" id="{00000000-0008-0000-0100-0000AE580000}"/>
            </a:ext>
          </a:extLst>
        </xdr:cNvPr>
        <xdr:cNvSpPr>
          <a:spLocks noChangeArrowheads="1"/>
        </xdr:cNvSpPr>
      </xdr:nvSpPr>
      <xdr:spPr bwMode="auto">
        <a:xfrm rot="10800000">
          <a:off x="158750" y="11766550"/>
          <a:ext cx="21590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69850</xdr:colOff>
      <xdr:row>0</xdr:row>
      <xdr:rowOff>44450</xdr:rowOff>
    </xdr:from>
    <xdr:to>
      <xdr:col>18</xdr:col>
      <xdr:colOff>31750</xdr:colOff>
      <xdr:row>1</xdr:row>
      <xdr:rowOff>114300</xdr:rowOff>
    </xdr:to>
    <xdr:sp macro="" textlink="">
      <xdr:nvSpPr>
        <xdr:cNvPr id="22703" name="right_arrow_2">
          <a:hlinkClick xmlns:r="http://schemas.openxmlformats.org/officeDocument/2006/relationships" r:id="rId2"/>
          <a:extLst>
            <a:ext uri="{FF2B5EF4-FFF2-40B4-BE49-F238E27FC236}">
              <a16:creationId xmlns:a16="http://schemas.microsoft.com/office/drawing/2014/main" id="{00000000-0008-0000-0100-0000AF580000}"/>
            </a:ext>
          </a:extLst>
        </xdr:cNvPr>
        <xdr:cNvSpPr>
          <a:spLocks noChangeArrowheads="1"/>
        </xdr:cNvSpPr>
      </xdr:nvSpPr>
      <xdr:spPr bwMode="auto">
        <a:xfrm>
          <a:off x="82296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69850</xdr:colOff>
      <xdr:row>73</xdr:row>
      <xdr:rowOff>114300</xdr:rowOff>
    </xdr:from>
    <xdr:to>
      <xdr:col>18</xdr:col>
      <xdr:colOff>31750</xdr:colOff>
      <xdr:row>75</xdr:row>
      <xdr:rowOff>6350</xdr:rowOff>
    </xdr:to>
    <xdr:sp macro="" textlink="">
      <xdr:nvSpPr>
        <xdr:cNvPr id="22704" name="right_arrow_1_2">
          <a:hlinkClick xmlns:r="http://schemas.openxmlformats.org/officeDocument/2006/relationships" r:id="rId2"/>
          <a:extLst>
            <a:ext uri="{FF2B5EF4-FFF2-40B4-BE49-F238E27FC236}">
              <a16:creationId xmlns:a16="http://schemas.microsoft.com/office/drawing/2014/main" id="{00000000-0008-0000-0100-0000B0580000}"/>
            </a:ext>
          </a:extLst>
        </xdr:cNvPr>
        <xdr:cNvSpPr>
          <a:spLocks noChangeArrowheads="1"/>
        </xdr:cNvSpPr>
      </xdr:nvSpPr>
      <xdr:spPr bwMode="auto">
        <a:xfrm>
          <a:off x="8229600" y="117665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685800</xdr:colOff>
      <xdr:row>0</xdr:row>
      <xdr:rowOff>25400</xdr:rowOff>
    </xdr:from>
    <xdr:to>
      <xdr:col>8</xdr:col>
      <xdr:colOff>654050</xdr:colOff>
      <xdr:row>1</xdr:row>
      <xdr:rowOff>76200</xdr:rowOff>
    </xdr:to>
    <xdr:pic>
      <xdr:nvPicPr>
        <xdr:cNvPr id="99329" name="hyper_index_19">
          <a:hlinkClick xmlns:r="http://schemas.openxmlformats.org/officeDocument/2006/relationships" r:id="rId1"/>
          <a:extLst>
            <a:ext uri="{FF2B5EF4-FFF2-40B4-BE49-F238E27FC236}">
              <a16:creationId xmlns:a16="http://schemas.microsoft.com/office/drawing/2014/main" id="{00000000-0008-0000-1F00-0000018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145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3</xdr:col>
      <xdr:colOff>31750</xdr:colOff>
      <xdr:row>1</xdr:row>
      <xdr:rowOff>114300</xdr:rowOff>
    </xdr:to>
    <xdr:sp macro="" textlink="">
      <xdr:nvSpPr>
        <xdr:cNvPr id="99330" name="left_arrow_19">
          <a:hlinkClick xmlns:r="http://schemas.openxmlformats.org/officeDocument/2006/relationships" r:id="rId3"/>
          <a:extLst>
            <a:ext uri="{FF2B5EF4-FFF2-40B4-BE49-F238E27FC236}">
              <a16:creationId xmlns:a16="http://schemas.microsoft.com/office/drawing/2014/main" id="{00000000-0008-0000-1F00-0000028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20</xdr:row>
      <xdr:rowOff>101600</xdr:rowOff>
    </xdr:from>
    <xdr:to>
      <xdr:col>3</xdr:col>
      <xdr:colOff>31750</xdr:colOff>
      <xdr:row>22</xdr:row>
      <xdr:rowOff>6350</xdr:rowOff>
    </xdr:to>
    <xdr:sp macro="" textlink="">
      <xdr:nvSpPr>
        <xdr:cNvPr id="99331" name="left_arrow_1_19">
          <a:hlinkClick xmlns:r="http://schemas.openxmlformats.org/officeDocument/2006/relationships" r:id="rId3"/>
          <a:extLst>
            <a:ext uri="{FF2B5EF4-FFF2-40B4-BE49-F238E27FC236}">
              <a16:creationId xmlns:a16="http://schemas.microsoft.com/office/drawing/2014/main" id="{00000000-0008-0000-1F00-000003840100}"/>
            </a:ext>
          </a:extLst>
        </xdr:cNvPr>
        <xdr:cNvSpPr>
          <a:spLocks noChangeArrowheads="1"/>
        </xdr:cNvSpPr>
      </xdr:nvSpPr>
      <xdr:spPr bwMode="auto">
        <a:xfrm rot="10800000">
          <a:off x="158750" y="33401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539750</xdr:colOff>
      <xdr:row>0</xdr:row>
      <xdr:rowOff>44450</xdr:rowOff>
    </xdr:from>
    <xdr:to>
      <xdr:col>14</xdr:col>
      <xdr:colOff>31750</xdr:colOff>
      <xdr:row>1</xdr:row>
      <xdr:rowOff>114300</xdr:rowOff>
    </xdr:to>
    <xdr:sp macro="" textlink="">
      <xdr:nvSpPr>
        <xdr:cNvPr id="99332" name="right_arrow_19">
          <a:hlinkClick xmlns:r="http://schemas.openxmlformats.org/officeDocument/2006/relationships" r:id="rId4"/>
          <a:extLst>
            <a:ext uri="{FF2B5EF4-FFF2-40B4-BE49-F238E27FC236}">
              <a16:creationId xmlns:a16="http://schemas.microsoft.com/office/drawing/2014/main" id="{00000000-0008-0000-1F00-000004840100}"/>
            </a:ext>
          </a:extLst>
        </xdr:cNvPr>
        <xdr:cNvSpPr>
          <a:spLocks noChangeArrowheads="1"/>
        </xdr:cNvSpPr>
      </xdr:nvSpPr>
      <xdr:spPr bwMode="auto">
        <a:xfrm>
          <a:off x="82423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539750</xdr:colOff>
      <xdr:row>20</xdr:row>
      <xdr:rowOff>101600</xdr:rowOff>
    </xdr:from>
    <xdr:to>
      <xdr:col>14</xdr:col>
      <xdr:colOff>31750</xdr:colOff>
      <xdr:row>22</xdr:row>
      <xdr:rowOff>6350</xdr:rowOff>
    </xdr:to>
    <xdr:sp macro="" textlink="">
      <xdr:nvSpPr>
        <xdr:cNvPr id="99333" name="right_arrow_1_19">
          <a:hlinkClick xmlns:r="http://schemas.openxmlformats.org/officeDocument/2006/relationships" r:id="rId4"/>
          <a:extLst>
            <a:ext uri="{FF2B5EF4-FFF2-40B4-BE49-F238E27FC236}">
              <a16:creationId xmlns:a16="http://schemas.microsoft.com/office/drawing/2014/main" id="{00000000-0008-0000-1F00-000005840100}"/>
            </a:ext>
          </a:extLst>
        </xdr:cNvPr>
        <xdr:cNvSpPr>
          <a:spLocks noChangeArrowheads="1"/>
        </xdr:cNvSpPr>
      </xdr:nvSpPr>
      <xdr:spPr bwMode="auto">
        <a:xfrm>
          <a:off x="8242300" y="33401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18</xdr:col>
      <xdr:colOff>133350</xdr:colOff>
      <xdr:row>0</xdr:row>
      <xdr:rowOff>25400</xdr:rowOff>
    </xdr:from>
    <xdr:to>
      <xdr:col>22</xdr:col>
      <xdr:colOff>158750</xdr:colOff>
      <xdr:row>1</xdr:row>
      <xdr:rowOff>76200</xdr:rowOff>
    </xdr:to>
    <xdr:pic>
      <xdr:nvPicPr>
        <xdr:cNvPr id="20728" name="hyper_index_20">
          <a:hlinkClick xmlns:r="http://schemas.openxmlformats.org/officeDocument/2006/relationships" r:id="rId1"/>
          <a:extLst>
            <a:ext uri="{FF2B5EF4-FFF2-40B4-BE49-F238E27FC236}">
              <a16:creationId xmlns:a16="http://schemas.microsoft.com/office/drawing/2014/main" id="{00000000-0008-0000-2000-0000F8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20729" name="left_arrow_20">
          <a:hlinkClick xmlns:r="http://schemas.openxmlformats.org/officeDocument/2006/relationships" r:id="rId3"/>
          <a:extLst>
            <a:ext uri="{FF2B5EF4-FFF2-40B4-BE49-F238E27FC236}">
              <a16:creationId xmlns:a16="http://schemas.microsoft.com/office/drawing/2014/main" id="{00000000-0008-0000-2000-0000F950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44</xdr:row>
      <xdr:rowOff>101600</xdr:rowOff>
    </xdr:from>
    <xdr:to>
      <xdr:col>2</xdr:col>
      <xdr:colOff>241300</xdr:colOff>
      <xdr:row>46</xdr:row>
      <xdr:rowOff>6350</xdr:rowOff>
    </xdr:to>
    <xdr:sp macro="" textlink="">
      <xdr:nvSpPr>
        <xdr:cNvPr id="20730" name="left_arrow_1_20">
          <a:hlinkClick xmlns:r="http://schemas.openxmlformats.org/officeDocument/2006/relationships" r:id="rId3"/>
          <a:extLst>
            <a:ext uri="{FF2B5EF4-FFF2-40B4-BE49-F238E27FC236}">
              <a16:creationId xmlns:a16="http://schemas.microsoft.com/office/drawing/2014/main" id="{00000000-0008-0000-2000-0000FA500000}"/>
            </a:ext>
          </a:extLst>
        </xdr:cNvPr>
        <xdr:cNvSpPr>
          <a:spLocks noChangeArrowheads="1"/>
        </xdr:cNvSpPr>
      </xdr:nvSpPr>
      <xdr:spPr bwMode="auto">
        <a:xfrm rot="10800000">
          <a:off x="158750" y="79311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43</xdr:col>
      <xdr:colOff>152400</xdr:colOff>
      <xdr:row>0</xdr:row>
      <xdr:rowOff>44450</xdr:rowOff>
    </xdr:from>
    <xdr:to>
      <xdr:col>45</xdr:col>
      <xdr:colOff>31750</xdr:colOff>
      <xdr:row>1</xdr:row>
      <xdr:rowOff>114300</xdr:rowOff>
    </xdr:to>
    <xdr:sp macro="" textlink="">
      <xdr:nvSpPr>
        <xdr:cNvPr id="20731" name="right_arrow_20">
          <a:hlinkClick xmlns:r="http://schemas.openxmlformats.org/officeDocument/2006/relationships" r:id="rId4"/>
          <a:extLst>
            <a:ext uri="{FF2B5EF4-FFF2-40B4-BE49-F238E27FC236}">
              <a16:creationId xmlns:a16="http://schemas.microsoft.com/office/drawing/2014/main" id="{00000000-0008-0000-2000-0000FB500000}"/>
            </a:ext>
          </a:extLst>
        </xdr:cNvPr>
        <xdr:cNvSpPr>
          <a:spLocks noChangeArrowheads="1"/>
        </xdr:cNvSpPr>
      </xdr:nvSpPr>
      <xdr:spPr bwMode="auto">
        <a:xfrm>
          <a:off x="83058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43</xdr:col>
      <xdr:colOff>152400</xdr:colOff>
      <xdr:row>44</xdr:row>
      <xdr:rowOff>101600</xdr:rowOff>
    </xdr:from>
    <xdr:to>
      <xdr:col>45</xdr:col>
      <xdr:colOff>31750</xdr:colOff>
      <xdr:row>46</xdr:row>
      <xdr:rowOff>6350</xdr:rowOff>
    </xdr:to>
    <xdr:sp macro="" textlink="">
      <xdr:nvSpPr>
        <xdr:cNvPr id="20732" name="right_arrow_1_20">
          <a:hlinkClick xmlns:r="http://schemas.openxmlformats.org/officeDocument/2006/relationships" r:id="rId4"/>
          <a:extLst>
            <a:ext uri="{FF2B5EF4-FFF2-40B4-BE49-F238E27FC236}">
              <a16:creationId xmlns:a16="http://schemas.microsoft.com/office/drawing/2014/main" id="{00000000-0008-0000-2000-0000FC500000}"/>
            </a:ext>
          </a:extLst>
        </xdr:cNvPr>
        <xdr:cNvSpPr>
          <a:spLocks noChangeArrowheads="1"/>
        </xdr:cNvSpPr>
      </xdr:nvSpPr>
      <xdr:spPr bwMode="auto">
        <a:xfrm>
          <a:off x="8305800" y="79311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577850</xdr:colOff>
      <xdr:row>0</xdr:row>
      <xdr:rowOff>25400</xdr:rowOff>
    </xdr:from>
    <xdr:to>
      <xdr:col>8</xdr:col>
      <xdr:colOff>603250</xdr:colOff>
      <xdr:row>1</xdr:row>
      <xdr:rowOff>76200</xdr:rowOff>
    </xdr:to>
    <xdr:pic>
      <xdr:nvPicPr>
        <xdr:cNvPr id="77829" name="hyper_index_21">
          <a:hlinkClick xmlns:r="http://schemas.openxmlformats.org/officeDocument/2006/relationships" r:id="rId1"/>
          <a:extLst>
            <a:ext uri="{FF2B5EF4-FFF2-40B4-BE49-F238E27FC236}">
              <a16:creationId xmlns:a16="http://schemas.microsoft.com/office/drawing/2014/main" id="{00000000-0008-0000-2100-0000053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78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7830" name="left_arrow_21">
          <a:hlinkClick xmlns:r="http://schemas.openxmlformats.org/officeDocument/2006/relationships" r:id="rId3"/>
          <a:extLst>
            <a:ext uri="{FF2B5EF4-FFF2-40B4-BE49-F238E27FC236}">
              <a16:creationId xmlns:a16="http://schemas.microsoft.com/office/drawing/2014/main" id="{00000000-0008-0000-2100-0000063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114</xdr:row>
      <xdr:rowOff>101600</xdr:rowOff>
    </xdr:from>
    <xdr:to>
      <xdr:col>2</xdr:col>
      <xdr:colOff>241300</xdr:colOff>
      <xdr:row>116</xdr:row>
      <xdr:rowOff>6350</xdr:rowOff>
    </xdr:to>
    <xdr:sp macro="" textlink="">
      <xdr:nvSpPr>
        <xdr:cNvPr id="77831" name="left_arrow_1_21">
          <a:hlinkClick xmlns:r="http://schemas.openxmlformats.org/officeDocument/2006/relationships" r:id="rId3"/>
          <a:extLst>
            <a:ext uri="{FF2B5EF4-FFF2-40B4-BE49-F238E27FC236}">
              <a16:creationId xmlns:a16="http://schemas.microsoft.com/office/drawing/2014/main" id="{00000000-0008-0000-2100-000007300100}"/>
            </a:ext>
          </a:extLst>
        </xdr:cNvPr>
        <xdr:cNvSpPr>
          <a:spLocks noChangeArrowheads="1"/>
        </xdr:cNvSpPr>
      </xdr:nvSpPr>
      <xdr:spPr bwMode="auto">
        <a:xfrm rot="10800000">
          <a:off x="158750" y="18529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323850</xdr:colOff>
      <xdr:row>0</xdr:row>
      <xdr:rowOff>44450</xdr:rowOff>
    </xdr:from>
    <xdr:to>
      <xdr:col>14</xdr:col>
      <xdr:colOff>539750</xdr:colOff>
      <xdr:row>1</xdr:row>
      <xdr:rowOff>114300</xdr:rowOff>
    </xdr:to>
    <xdr:sp macro="" textlink="">
      <xdr:nvSpPr>
        <xdr:cNvPr id="77832" name="right_arrow_21">
          <a:hlinkClick xmlns:r="http://schemas.openxmlformats.org/officeDocument/2006/relationships" r:id="rId4"/>
          <a:extLst>
            <a:ext uri="{FF2B5EF4-FFF2-40B4-BE49-F238E27FC236}">
              <a16:creationId xmlns:a16="http://schemas.microsoft.com/office/drawing/2014/main" id="{00000000-0008-0000-2100-000008300100}"/>
            </a:ext>
          </a:extLst>
        </xdr:cNvPr>
        <xdr:cNvSpPr>
          <a:spLocks noChangeArrowheads="1"/>
        </xdr:cNvSpPr>
      </xdr:nvSpPr>
      <xdr:spPr bwMode="auto">
        <a:xfrm>
          <a:off x="8267700" y="44450"/>
          <a:ext cx="21590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323850</xdr:colOff>
      <xdr:row>114</xdr:row>
      <xdr:rowOff>101600</xdr:rowOff>
    </xdr:from>
    <xdr:to>
      <xdr:col>14</xdr:col>
      <xdr:colOff>539750</xdr:colOff>
      <xdr:row>116</xdr:row>
      <xdr:rowOff>6350</xdr:rowOff>
    </xdr:to>
    <xdr:sp macro="" textlink="">
      <xdr:nvSpPr>
        <xdr:cNvPr id="77833" name="right_arrow_1_21">
          <a:hlinkClick xmlns:r="http://schemas.openxmlformats.org/officeDocument/2006/relationships" r:id="rId4"/>
          <a:extLst>
            <a:ext uri="{FF2B5EF4-FFF2-40B4-BE49-F238E27FC236}">
              <a16:creationId xmlns:a16="http://schemas.microsoft.com/office/drawing/2014/main" id="{00000000-0008-0000-2100-000009300100}"/>
            </a:ext>
          </a:extLst>
        </xdr:cNvPr>
        <xdr:cNvSpPr>
          <a:spLocks noChangeArrowheads="1"/>
        </xdr:cNvSpPr>
      </xdr:nvSpPr>
      <xdr:spPr bwMode="auto">
        <a:xfrm>
          <a:off x="8267700" y="18529300"/>
          <a:ext cx="21590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6822" name="hyper_index_22">
          <a:hlinkClick xmlns:r="http://schemas.openxmlformats.org/officeDocument/2006/relationships" r:id="rId1"/>
          <a:extLst>
            <a:ext uri="{FF2B5EF4-FFF2-40B4-BE49-F238E27FC236}">
              <a16:creationId xmlns:a16="http://schemas.microsoft.com/office/drawing/2014/main" id="{00000000-0008-0000-2200-0000162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6823" name="left_arrow_22">
          <a:hlinkClick xmlns:r="http://schemas.openxmlformats.org/officeDocument/2006/relationships" r:id="rId3"/>
          <a:extLst>
            <a:ext uri="{FF2B5EF4-FFF2-40B4-BE49-F238E27FC236}">
              <a16:creationId xmlns:a16="http://schemas.microsoft.com/office/drawing/2014/main" id="{00000000-0008-0000-2200-0000172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120</xdr:row>
      <xdr:rowOff>101600</xdr:rowOff>
    </xdr:from>
    <xdr:to>
      <xdr:col>2</xdr:col>
      <xdr:colOff>241300</xdr:colOff>
      <xdr:row>122</xdr:row>
      <xdr:rowOff>6350</xdr:rowOff>
    </xdr:to>
    <xdr:sp macro="" textlink="">
      <xdr:nvSpPr>
        <xdr:cNvPr id="76824" name="left_arrow_1_22">
          <a:hlinkClick xmlns:r="http://schemas.openxmlformats.org/officeDocument/2006/relationships" r:id="rId3"/>
          <a:extLst>
            <a:ext uri="{FF2B5EF4-FFF2-40B4-BE49-F238E27FC236}">
              <a16:creationId xmlns:a16="http://schemas.microsoft.com/office/drawing/2014/main" id="{00000000-0008-0000-2200-0000182C0100}"/>
            </a:ext>
          </a:extLst>
        </xdr:cNvPr>
        <xdr:cNvSpPr>
          <a:spLocks noChangeArrowheads="1"/>
        </xdr:cNvSpPr>
      </xdr:nvSpPr>
      <xdr:spPr bwMode="auto">
        <a:xfrm rot="10800000">
          <a:off x="158750" y="19926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6825" name="right_arrow_22">
          <a:hlinkClick xmlns:r="http://schemas.openxmlformats.org/officeDocument/2006/relationships" r:id="rId4"/>
          <a:extLst>
            <a:ext uri="{FF2B5EF4-FFF2-40B4-BE49-F238E27FC236}">
              <a16:creationId xmlns:a16="http://schemas.microsoft.com/office/drawing/2014/main" id="{00000000-0008-0000-2200-0000192C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120</xdr:row>
      <xdr:rowOff>101600</xdr:rowOff>
    </xdr:from>
    <xdr:to>
      <xdr:col>15</xdr:col>
      <xdr:colOff>31750</xdr:colOff>
      <xdr:row>122</xdr:row>
      <xdr:rowOff>6350</xdr:rowOff>
    </xdr:to>
    <xdr:sp macro="" textlink="">
      <xdr:nvSpPr>
        <xdr:cNvPr id="76826" name="right_arrow_1_22">
          <a:hlinkClick xmlns:r="http://schemas.openxmlformats.org/officeDocument/2006/relationships" r:id="rId4"/>
          <a:extLst>
            <a:ext uri="{FF2B5EF4-FFF2-40B4-BE49-F238E27FC236}">
              <a16:creationId xmlns:a16="http://schemas.microsoft.com/office/drawing/2014/main" id="{00000000-0008-0000-2200-00001A2C0100}"/>
            </a:ext>
          </a:extLst>
        </xdr:cNvPr>
        <xdr:cNvSpPr>
          <a:spLocks noChangeArrowheads="1"/>
        </xdr:cNvSpPr>
      </xdr:nvSpPr>
      <xdr:spPr bwMode="auto">
        <a:xfrm>
          <a:off x="8286750" y="19926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8853" name="hyper_index_23">
          <a:hlinkClick xmlns:r="http://schemas.openxmlformats.org/officeDocument/2006/relationships" r:id="rId1"/>
          <a:extLst>
            <a:ext uri="{FF2B5EF4-FFF2-40B4-BE49-F238E27FC236}">
              <a16:creationId xmlns:a16="http://schemas.microsoft.com/office/drawing/2014/main" id="{00000000-0008-0000-2300-000005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8854" name="left_arrow_23">
          <a:hlinkClick xmlns:r="http://schemas.openxmlformats.org/officeDocument/2006/relationships" r:id="rId3"/>
          <a:extLst>
            <a:ext uri="{FF2B5EF4-FFF2-40B4-BE49-F238E27FC236}">
              <a16:creationId xmlns:a16="http://schemas.microsoft.com/office/drawing/2014/main" id="{00000000-0008-0000-2300-0000063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33</xdr:row>
      <xdr:rowOff>101600</xdr:rowOff>
    </xdr:from>
    <xdr:to>
      <xdr:col>2</xdr:col>
      <xdr:colOff>241300</xdr:colOff>
      <xdr:row>35</xdr:row>
      <xdr:rowOff>6350</xdr:rowOff>
    </xdr:to>
    <xdr:sp macro="" textlink="">
      <xdr:nvSpPr>
        <xdr:cNvPr id="78855" name="left_arrow_1_23">
          <a:hlinkClick xmlns:r="http://schemas.openxmlformats.org/officeDocument/2006/relationships" r:id="rId3"/>
          <a:extLst>
            <a:ext uri="{FF2B5EF4-FFF2-40B4-BE49-F238E27FC236}">
              <a16:creationId xmlns:a16="http://schemas.microsoft.com/office/drawing/2014/main" id="{00000000-0008-0000-2300-000007340100}"/>
            </a:ext>
          </a:extLst>
        </xdr:cNvPr>
        <xdr:cNvSpPr>
          <a:spLocks noChangeArrowheads="1"/>
        </xdr:cNvSpPr>
      </xdr:nvSpPr>
      <xdr:spPr bwMode="auto">
        <a:xfrm rot="10800000">
          <a:off x="158750" y="54610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8856" name="right_arrow_23">
          <a:hlinkClick xmlns:r="http://schemas.openxmlformats.org/officeDocument/2006/relationships" r:id="rId4"/>
          <a:extLst>
            <a:ext uri="{FF2B5EF4-FFF2-40B4-BE49-F238E27FC236}">
              <a16:creationId xmlns:a16="http://schemas.microsoft.com/office/drawing/2014/main" id="{00000000-0008-0000-2300-00000834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33</xdr:row>
      <xdr:rowOff>101600</xdr:rowOff>
    </xdr:from>
    <xdr:to>
      <xdr:col>15</xdr:col>
      <xdr:colOff>31750</xdr:colOff>
      <xdr:row>35</xdr:row>
      <xdr:rowOff>6350</xdr:rowOff>
    </xdr:to>
    <xdr:sp macro="" textlink="">
      <xdr:nvSpPr>
        <xdr:cNvPr id="78857" name="right_arrow_1_23">
          <a:hlinkClick xmlns:r="http://schemas.openxmlformats.org/officeDocument/2006/relationships" r:id="rId4"/>
          <a:extLst>
            <a:ext uri="{FF2B5EF4-FFF2-40B4-BE49-F238E27FC236}">
              <a16:creationId xmlns:a16="http://schemas.microsoft.com/office/drawing/2014/main" id="{00000000-0008-0000-2300-000009340100}"/>
            </a:ext>
          </a:extLst>
        </xdr:cNvPr>
        <xdr:cNvSpPr>
          <a:spLocks noChangeArrowheads="1"/>
        </xdr:cNvSpPr>
      </xdr:nvSpPr>
      <xdr:spPr bwMode="auto">
        <a:xfrm>
          <a:off x="8286750" y="54610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2712" name="hyper_index_24">
          <a:hlinkClick xmlns:r="http://schemas.openxmlformats.org/officeDocument/2006/relationships" r:id="rId1"/>
          <a:extLst>
            <a:ext uri="{FF2B5EF4-FFF2-40B4-BE49-F238E27FC236}">
              <a16:creationId xmlns:a16="http://schemas.microsoft.com/office/drawing/2014/main" id="{00000000-0008-0000-2400-0000081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72713" name="left_arrow_24">
          <a:hlinkClick xmlns:r="http://schemas.openxmlformats.org/officeDocument/2006/relationships" r:id="rId3"/>
          <a:extLst>
            <a:ext uri="{FF2B5EF4-FFF2-40B4-BE49-F238E27FC236}">
              <a16:creationId xmlns:a16="http://schemas.microsoft.com/office/drawing/2014/main" id="{00000000-0008-0000-2400-0000091C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98</xdr:row>
      <xdr:rowOff>101600</xdr:rowOff>
    </xdr:from>
    <xdr:to>
      <xdr:col>2</xdr:col>
      <xdr:colOff>228600</xdr:colOff>
      <xdr:row>100</xdr:row>
      <xdr:rowOff>6350</xdr:rowOff>
    </xdr:to>
    <xdr:sp macro="" textlink="">
      <xdr:nvSpPr>
        <xdr:cNvPr id="72714" name="left_arrow_1_24">
          <a:hlinkClick xmlns:r="http://schemas.openxmlformats.org/officeDocument/2006/relationships" r:id="rId3"/>
          <a:extLst>
            <a:ext uri="{FF2B5EF4-FFF2-40B4-BE49-F238E27FC236}">
              <a16:creationId xmlns:a16="http://schemas.microsoft.com/office/drawing/2014/main" id="{00000000-0008-0000-2400-00000A1C0100}"/>
            </a:ext>
          </a:extLst>
        </xdr:cNvPr>
        <xdr:cNvSpPr>
          <a:spLocks noChangeArrowheads="1"/>
        </xdr:cNvSpPr>
      </xdr:nvSpPr>
      <xdr:spPr bwMode="auto">
        <a:xfrm rot="10800000">
          <a:off x="158750" y="1594485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72715" name="right_arrow_24">
          <a:hlinkClick xmlns:r="http://schemas.openxmlformats.org/officeDocument/2006/relationships" r:id="rId4"/>
          <a:extLst>
            <a:ext uri="{FF2B5EF4-FFF2-40B4-BE49-F238E27FC236}">
              <a16:creationId xmlns:a16="http://schemas.microsoft.com/office/drawing/2014/main" id="{00000000-0008-0000-2400-00000B1C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98</xdr:row>
      <xdr:rowOff>101600</xdr:rowOff>
    </xdr:from>
    <xdr:to>
      <xdr:col>15</xdr:col>
      <xdr:colOff>31750</xdr:colOff>
      <xdr:row>100</xdr:row>
      <xdr:rowOff>6350</xdr:rowOff>
    </xdr:to>
    <xdr:sp macro="" textlink="">
      <xdr:nvSpPr>
        <xdr:cNvPr id="72716" name="right_arrow_1_24">
          <a:hlinkClick xmlns:r="http://schemas.openxmlformats.org/officeDocument/2006/relationships" r:id="rId4"/>
          <a:extLst>
            <a:ext uri="{FF2B5EF4-FFF2-40B4-BE49-F238E27FC236}">
              <a16:creationId xmlns:a16="http://schemas.microsoft.com/office/drawing/2014/main" id="{00000000-0008-0000-2400-00000C1C0100}"/>
            </a:ext>
          </a:extLst>
        </xdr:cNvPr>
        <xdr:cNvSpPr>
          <a:spLocks noChangeArrowheads="1"/>
        </xdr:cNvSpPr>
      </xdr:nvSpPr>
      <xdr:spPr bwMode="auto">
        <a:xfrm>
          <a:off x="7886700" y="1594485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47</xdr:row>
          <xdr:rowOff>152400</xdr:rowOff>
        </xdr:from>
        <xdr:to>
          <xdr:col>4</xdr:col>
          <xdr:colOff>381000</xdr:colOff>
          <xdr:row>49</xdr:row>
          <xdr:rowOff>44450</xdr:rowOff>
        </xdr:to>
        <xdr:sp macro="" textlink="">
          <xdr:nvSpPr>
            <xdr:cNvPr id="79875" name="Check Box 3" hidden="1">
              <a:extLst>
                <a:ext uri="{63B3BB69-23CF-44E3-9099-C40C66FF867C}">
                  <a14:compatExt spid="_x0000_s79875"/>
                </a:ext>
                <a:ext uri="{FF2B5EF4-FFF2-40B4-BE49-F238E27FC236}">
                  <a16:creationId xmlns:a16="http://schemas.microsoft.com/office/drawing/2014/main" id="{00000000-0008-0000-2500-00000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AU" sz="800" b="0" i="0" u="none" strike="noStrike" baseline="0">
                  <a:solidFill>
                    <a:srgbClr val="000000"/>
                  </a:solidFill>
                  <a:latin typeface="Tahoma"/>
                  <a:ea typeface="Tahoma"/>
                  <a:cs typeface="Tahoma"/>
                </a:rPr>
                <a:t> Show explanation</a:t>
              </a:r>
            </a:p>
          </xdr:txBody>
        </xdr:sp>
        <xdr:clientData/>
      </xdr:twoCellAnchor>
    </mc:Choice>
    <mc:Fallback/>
  </mc:AlternateContent>
  <xdr:twoCellAnchor editAs="oneCell">
    <xdr:from>
      <xdr:col>8</xdr:col>
      <xdr:colOff>19050</xdr:colOff>
      <xdr:row>0</xdr:row>
      <xdr:rowOff>25400</xdr:rowOff>
    </xdr:from>
    <xdr:to>
      <xdr:col>9</xdr:col>
      <xdr:colOff>88900</xdr:colOff>
      <xdr:row>1</xdr:row>
      <xdr:rowOff>76200</xdr:rowOff>
    </xdr:to>
    <xdr:pic>
      <xdr:nvPicPr>
        <xdr:cNvPr id="79876" name="hyper_index_25">
          <a:hlinkClick xmlns:r="http://schemas.openxmlformats.org/officeDocument/2006/relationships" r:id="rId1"/>
          <a:extLst>
            <a:ext uri="{FF2B5EF4-FFF2-40B4-BE49-F238E27FC236}">
              <a16:creationId xmlns:a16="http://schemas.microsoft.com/office/drawing/2014/main" id="{00000000-0008-0000-2500-0000043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9877" name="left_arrow_25">
          <a:hlinkClick xmlns:r="http://schemas.openxmlformats.org/officeDocument/2006/relationships" r:id="rId3"/>
          <a:extLst>
            <a:ext uri="{FF2B5EF4-FFF2-40B4-BE49-F238E27FC236}">
              <a16:creationId xmlns:a16="http://schemas.microsoft.com/office/drawing/2014/main" id="{00000000-0008-0000-2500-00000538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59</xdr:row>
      <xdr:rowOff>101600</xdr:rowOff>
    </xdr:from>
    <xdr:to>
      <xdr:col>2</xdr:col>
      <xdr:colOff>241300</xdr:colOff>
      <xdr:row>61</xdr:row>
      <xdr:rowOff>6350</xdr:rowOff>
    </xdr:to>
    <xdr:sp macro="" textlink="">
      <xdr:nvSpPr>
        <xdr:cNvPr id="79878" name="left_arrow_1_25">
          <a:hlinkClick xmlns:r="http://schemas.openxmlformats.org/officeDocument/2006/relationships" r:id="rId3"/>
          <a:extLst>
            <a:ext uri="{FF2B5EF4-FFF2-40B4-BE49-F238E27FC236}">
              <a16:creationId xmlns:a16="http://schemas.microsoft.com/office/drawing/2014/main" id="{00000000-0008-0000-2500-000006380100}"/>
            </a:ext>
          </a:extLst>
        </xdr:cNvPr>
        <xdr:cNvSpPr>
          <a:spLocks noChangeArrowheads="1"/>
        </xdr:cNvSpPr>
      </xdr:nvSpPr>
      <xdr:spPr bwMode="auto">
        <a:xfrm rot="10800000">
          <a:off x="158750" y="88265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9879" name="right_arrow_25">
          <a:hlinkClick xmlns:r="http://schemas.openxmlformats.org/officeDocument/2006/relationships" r:id="rId4"/>
          <a:extLst>
            <a:ext uri="{FF2B5EF4-FFF2-40B4-BE49-F238E27FC236}">
              <a16:creationId xmlns:a16="http://schemas.microsoft.com/office/drawing/2014/main" id="{00000000-0008-0000-2500-00000738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59</xdr:row>
      <xdr:rowOff>101600</xdr:rowOff>
    </xdr:from>
    <xdr:to>
      <xdr:col>15</xdr:col>
      <xdr:colOff>31750</xdr:colOff>
      <xdr:row>61</xdr:row>
      <xdr:rowOff>6350</xdr:rowOff>
    </xdr:to>
    <xdr:sp macro="" textlink="">
      <xdr:nvSpPr>
        <xdr:cNvPr id="79880" name="right_arrow_1_25">
          <a:hlinkClick xmlns:r="http://schemas.openxmlformats.org/officeDocument/2006/relationships" r:id="rId4"/>
          <a:extLst>
            <a:ext uri="{FF2B5EF4-FFF2-40B4-BE49-F238E27FC236}">
              <a16:creationId xmlns:a16="http://schemas.microsoft.com/office/drawing/2014/main" id="{00000000-0008-0000-2500-000008380100}"/>
            </a:ext>
          </a:extLst>
        </xdr:cNvPr>
        <xdr:cNvSpPr>
          <a:spLocks noChangeArrowheads="1"/>
        </xdr:cNvSpPr>
      </xdr:nvSpPr>
      <xdr:spPr bwMode="auto">
        <a:xfrm>
          <a:off x="8286750" y="88265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0904" name="hyper_index_26">
          <a:hlinkClick xmlns:r="http://schemas.openxmlformats.org/officeDocument/2006/relationships" r:id="rId1"/>
          <a:extLst>
            <a:ext uri="{FF2B5EF4-FFF2-40B4-BE49-F238E27FC236}">
              <a16:creationId xmlns:a16="http://schemas.microsoft.com/office/drawing/2014/main" id="{00000000-0008-0000-2600-0000083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80905" name="left_arrow_26">
          <a:hlinkClick xmlns:r="http://schemas.openxmlformats.org/officeDocument/2006/relationships" r:id="rId3"/>
          <a:extLst>
            <a:ext uri="{FF2B5EF4-FFF2-40B4-BE49-F238E27FC236}">
              <a16:creationId xmlns:a16="http://schemas.microsoft.com/office/drawing/2014/main" id="{00000000-0008-0000-2600-0000093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88</xdr:row>
      <xdr:rowOff>101600</xdr:rowOff>
    </xdr:from>
    <xdr:to>
      <xdr:col>2</xdr:col>
      <xdr:colOff>241300</xdr:colOff>
      <xdr:row>90</xdr:row>
      <xdr:rowOff>6350</xdr:rowOff>
    </xdr:to>
    <xdr:sp macro="" textlink="">
      <xdr:nvSpPr>
        <xdr:cNvPr id="80906" name="left_arrow_1_26">
          <a:hlinkClick xmlns:r="http://schemas.openxmlformats.org/officeDocument/2006/relationships" r:id="rId3"/>
          <a:extLst>
            <a:ext uri="{FF2B5EF4-FFF2-40B4-BE49-F238E27FC236}">
              <a16:creationId xmlns:a16="http://schemas.microsoft.com/office/drawing/2014/main" id="{00000000-0008-0000-2600-00000A3C0100}"/>
            </a:ext>
          </a:extLst>
        </xdr:cNvPr>
        <xdr:cNvSpPr>
          <a:spLocks noChangeArrowheads="1"/>
        </xdr:cNvSpPr>
      </xdr:nvSpPr>
      <xdr:spPr bwMode="auto">
        <a:xfrm rot="10800000">
          <a:off x="158750" y="143256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80907" name="right_arrow_26">
          <a:hlinkClick xmlns:r="http://schemas.openxmlformats.org/officeDocument/2006/relationships" r:id="rId4"/>
          <a:extLst>
            <a:ext uri="{FF2B5EF4-FFF2-40B4-BE49-F238E27FC236}">
              <a16:creationId xmlns:a16="http://schemas.microsoft.com/office/drawing/2014/main" id="{00000000-0008-0000-2600-00000B3C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88</xdr:row>
      <xdr:rowOff>101600</xdr:rowOff>
    </xdr:from>
    <xdr:to>
      <xdr:col>15</xdr:col>
      <xdr:colOff>31750</xdr:colOff>
      <xdr:row>90</xdr:row>
      <xdr:rowOff>6350</xdr:rowOff>
    </xdr:to>
    <xdr:sp macro="" textlink="">
      <xdr:nvSpPr>
        <xdr:cNvPr id="80908" name="right_arrow_1_26">
          <a:hlinkClick xmlns:r="http://schemas.openxmlformats.org/officeDocument/2006/relationships" r:id="rId4"/>
          <a:extLst>
            <a:ext uri="{FF2B5EF4-FFF2-40B4-BE49-F238E27FC236}">
              <a16:creationId xmlns:a16="http://schemas.microsoft.com/office/drawing/2014/main" id="{00000000-0008-0000-2600-00000C3C0100}"/>
            </a:ext>
          </a:extLst>
        </xdr:cNvPr>
        <xdr:cNvSpPr>
          <a:spLocks noChangeArrowheads="1"/>
        </xdr:cNvSpPr>
      </xdr:nvSpPr>
      <xdr:spPr bwMode="auto">
        <a:xfrm>
          <a:off x="8286750" y="143256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4761" name="hyper_index_27">
          <a:hlinkClick xmlns:r="http://schemas.openxmlformats.org/officeDocument/2006/relationships" r:id="rId1"/>
          <a:extLst>
            <a:ext uri="{FF2B5EF4-FFF2-40B4-BE49-F238E27FC236}">
              <a16:creationId xmlns:a16="http://schemas.microsoft.com/office/drawing/2014/main" id="{00000000-0008-0000-2700-0000092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74762" name="left_arrow_27">
          <a:hlinkClick xmlns:r="http://schemas.openxmlformats.org/officeDocument/2006/relationships" r:id="rId3"/>
          <a:extLst>
            <a:ext uri="{FF2B5EF4-FFF2-40B4-BE49-F238E27FC236}">
              <a16:creationId xmlns:a16="http://schemas.microsoft.com/office/drawing/2014/main" id="{00000000-0008-0000-2700-00000A24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68</xdr:row>
      <xdr:rowOff>101600</xdr:rowOff>
    </xdr:from>
    <xdr:to>
      <xdr:col>2</xdr:col>
      <xdr:colOff>228600</xdr:colOff>
      <xdr:row>70</xdr:row>
      <xdr:rowOff>6350</xdr:rowOff>
    </xdr:to>
    <xdr:sp macro="" textlink="">
      <xdr:nvSpPr>
        <xdr:cNvPr id="74763" name="left_arrow_1_27">
          <a:hlinkClick xmlns:r="http://schemas.openxmlformats.org/officeDocument/2006/relationships" r:id="rId3"/>
          <a:extLst>
            <a:ext uri="{FF2B5EF4-FFF2-40B4-BE49-F238E27FC236}">
              <a16:creationId xmlns:a16="http://schemas.microsoft.com/office/drawing/2014/main" id="{00000000-0008-0000-2700-00000B240100}"/>
            </a:ext>
          </a:extLst>
        </xdr:cNvPr>
        <xdr:cNvSpPr>
          <a:spLocks noChangeArrowheads="1"/>
        </xdr:cNvSpPr>
      </xdr:nvSpPr>
      <xdr:spPr bwMode="auto">
        <a:xfrm rot="10800000">
          <a:off x="158750" y="106426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74764" name="right_arrow_27">
          <a:hlinkClick xmlns:r="http://schemas.openxmlformats.org/officeDocument/2006/relationships" r:id="rId4"/>
          <a:extLst>
            <a:ext uri="{FF2B5EF4-FFF2-40B4-BE49-F238E27FC236}">
              <a16:creationId xmlns:a16="http://schemas.microsoft.com/office/drawing/2014/main" id="{00000000-0008-0000-2700-00000C24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68</xdr:row>
      <xdr:rowOff>101600</xdr:rowOff>
    </xdr:from>
    <xdr:to>
      <xdr:col>15</xdr:col>
      <xdr:colOff>31750</xdr:colOff>
      <xdr:row>70</xdr:row>
      <xdr:rowOff>6350</xdr:rowOff>
    </xdr:to>
    <xdr:sp macro="" textlink="">
      <xdr:nvSpPr>
        <xdr:cNvPr id="74765" name="right_arrow_1_27">
          <a:hlinkClick xmlns:r="http://schemas.openxmlformats.org/officeDocument/2006/relationships" r:id="rId4"/>
          <a:extLst>
            <a:ext uri="{FF2B5EF4-FFF2-40B4-BE49-F238E27FC236}">
              <a16:creationId xmlns:a16="http://schemas.microsoft.com/office/drawing/2014/main" id="{00000000-0008-0000-2700-00000D240100}"/>
            </a:ext>
          </a:extLst>
        </xdr:cNvPr>
        <xdr:cNvSpPr>
          <a:spLocks noChangeArrowheads="1"/>
        </xdr:cNvSpPr>
      </xdr:nvSpPr>
      <xdr:spPr bwMode="auto">
        <a:xfrm>
          <a:off x="7886700" y="106426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1933" name="hyper_index_28">
          <a:hlinkClick xmlns:r="http://schemas.openxmlformats.org/officeDocument/2006/relationships" r:id="rId1"/>
          <a:extLst>
            <a:ext uri="{FF2B5EF4-FFF2-40B4-BE49-F238E27FC236}">
              <a16:creationId xmlns:a16="http://schemas.microsoft.com/office/drawing/2014/main" id="{00000000-0008-0000-2800-00000D4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81934" name="left_arrow_28">
          <a:hlinkClick xmlns:r="http://schemas.openxmlformats.org/officeDocument/2006/relationships" r:id="rId3"/>
          <a:extLst>
            <a:ext uri="{FF2B5EF4-FFF2-40B4-BE49-F238E27FC236}">
              <a16:creationId xmlns:a16="http://schemas.microsoft.com/office/drawing/2014/main" id="{00000000-0008-0000-2800-00000E4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65</xdr:row>
      <xdr:rowOff>101600</xdr:rowOff>
    </xdr:from>
    <xdr:to>
      <xdr:col>2</xdr:col>
      <xdr:colOff>241300</xdr:colOff>
      <xdr:row>67</xdr:row>
      <xdr:rowOff>6350</xdr:rowOff>
    </xdr:to>
    <xdr:sp macro="" textlink="">
      <xdr:nvSpPr>
        <xdr:cNvPr id="81935" name="left_arrow_1_28">
          <a:hlinkClick xmlns:r="http://schemas.openxmlformats.org/officeDocument/2006/relationships" r:id="rId3"/>
          <a:extLst>
            <a:ext uri="{FF2B5EF4-FFF2-40B4-BE49-F238E27FC236}">
              <a16:creationId xmlns:a16="http://schemas.microsoft.com/office/drawing/2014/main" id="{00000000-0008-0000-2800-00000F400100}"/>
            </a:ext>
          </a:extLst>
        </xdr:cNvPr>
        <xdr:cNvSpPr>
          <a:spLocks noChangeArrowheads="1"/>
        </xdr:cNvSpPr>
      </xdr:nvSpPr>
      <xdr:spPr bwMode="auto">
        <a:xfrm rot="10800000">
          <a:off x="158750" y="10420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81936" name="right_arrow_28">
          <a:hlinkClick xmlns:r="http://schemas.openxmlformats.org/officeDocument/2006/relationships" r:id="rId4"/>
          <a:extLst>
            <a:ext uri="{FF2B5EF4-FFF2-40B4-BE49-F238E27FC236}">
              <a16:creationId xmlns:a16="http://schemas.microsoft.com/office/drawing/2014/main" id="{00000000-0008-0000-2800-00001040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65</xdr:row>
      <xdr:rowOff>101600</xdr:rowOff>
    </xdr:from>
    <xdr:to>
      <xdr:col>15</xdr:col>
      <xdr:colOff>31750</xdr:colOff>
      <xdr:row>67</xdr:row>
      <xdr:rowOff>6350</xdr:rowOff>
    </xdr:to>
    <xdr:sp macro="" textlink="">
      <xdr:nvSpPr>
        <xdr:cNvPr id="81937" name="right_arrow_1_28">
          <a:hlinkClick xmlns:r="http://schemas.openxmlformats.org/officeDocument/2006/relationships" r:id="rId4"/>
          <a:extLst>
            <a:ext uri="{FF2B5EF4-FFF2-40B4-BE49-F238E27FC236}">
              <a16:creationId xmlns:a16="http://schemas.microsoft.com/office/drawing/2014/main" id="{00000000-0008-0000-2800-000011400100}"/>
            </a:ext>
          </a:extLst>
        </xdr:cNvPr>
        <xdr:cNvSpPr>
          <a:spLocks noChangeArrowheads="1"/>
        </xdr:cNvSpPr>
      </xdr:nvSpPr>
      <xdr:spPr bwMode="auto">
        <a:xfrm>
          <a:off x="8286750" y="10420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0</xdr:row>
      <xdr:rowOff>25400</xdr:rowOff>
    </xdr:from>
    <xdr:to>
      <xdr:col>11</xdr:col>
      <xdr:colOff>171450</xdr:colOff>
      <xdr:row>1</xdr:row>
      <xdr:rowOff>76200</xdr:rowOff>
    </xdr:to>
    <xdr:pic>
      <xdr:nvPicPr>
        <xdr:cNvPr id="1395" name="hyper_index_3">
          <a:hlinkClick xmlns:r="http://schemas.openxmlformats.org/officeDocument/2006/relationships" r:id="rId1"/>
          <a:extLst>
            <a:ext uri="{FF2B5EF4-FFF2-40B4-BE49-F238E27FC236}">
              <a16:creationId xmlns:a16="http://schemas.microsoft.com/office/drawing/2014/main" id="{00000000-0008-0000-0200-000073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941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1396" name="left_arrow_3">
          <a:hlinkClick xmlns:r="http://schemas.openxmlformats.org/officeDocument/2006/relationships" r:id="rId3"/>
          <a:extLst>
            <a:ext uri="{FF2B5EF4-FFF2-40B4-BE49-F238E27FC236}">
              <a16:creationId xmlns:a16="http://schemas.microsoft.com/office/drawing/2014/main" id="{00000000-0008-0000-0200-00007405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56</xdr:row>
      <xdr:rowOff>101600</xdr:rowOff>
    </xdr:from>
    <xdr:to>
      <xdr:col>2</xdr:col>
      <xdr:colOff>241300</xdr:colOff>
      <xdr:row>58</xdr:row>
      <xdr:rowOff>6350</xdr:rowOff>
    </xdr:to>
    <xdr:sp macro="" textlink="">
      <xdr:nvSpPr>
        <xdr:cNvPr id="1397" name="left_arrow_1_3">
          <a:hlinkClick xmlns:r="http://schemas.openxmlformats.org/officeDocument/2006/relationships" r:id="rId3"/>
          <a:extLst>
            <a:ext uri="{FF2B5EF4-FFF2-40B4-BE49-F238E27FC236}">
              <a16:creationId xmlns:a16="http://schemas.microsoft.com/office/drawing/2014/main" id="{00000000-0008-0000-0200-000075050000}"/>
            </a:ext>
          </a:extLst>
        </xdr:cNvPr>
        <xdr:cNvSpPr>
          <a:spLocks noChangeArrowheads="1"/>
        </xdr:cNvSpPr>
      </xdr:nvSpPr>
      <xdr:spPr bwMode="auto">
        <a:xfrm rot="10800000">
          <a:off x="158750" y="8324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368300</xdr:colOff>
      <xdr:row>0</xdr:row>
      <xdr:rowOff>44450</xdr:rowOff>
    </xdr:from>
    <xdr:to>
      <xdr:col>18</xdr:col>
      <xdr:colOff>31750</xdr:colOff>
      <xdr:row>1</xdr:row>
      <xdr:rowOff>114300</xdr:rowOff>
    </xdr:to>
    <xdr:sp macro="" textlink="">
      <xdr:nvSpPr>
        <xdr:cNvPr id="1398" name="right_arrow_3">
          <a:hlinkClick xmlns:r="http://schemas.openxmlformats.org/officeDocument/2006/relationships" r:id="rId4"/>
          <a:extLst>
            <a:ext uri="{FF2B5EF4-FFF2-40B4-BE49-F238E27FC236}">
              <a16:creationId xmlns:a16="http://schemas.microsoft.com/office/drawing/2014/main" id="{00000000-0008-0000-0200-000076050000}"/>
            </a:ext>
          </a:extLst>
        </xdr:cNvPr>
        <xdr:cNvSpPr>
          <a:spLocks noChangeArrowheads="1"/>
        </xdr:cNvSpPr>
      </xdr:nvSpPr>
      <xdr:spPr bwMode="auto">
        <a:xfrm>
          <a:off x="82550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368300</xdr:colOff>
      <xdr:row>56</xdr:row>
      <xdr:rowOff>101600</xdr:rowOff>
    </xdr:from>
    <xdr:to>
      <xdr:col>18</xdr:col>
      <xdr:colOff>31750</xdr:colOff>
      <xdr:row>58</xdr:row>
      <xdr:rowOff>6350</xdr:rowOff>
    </xdr:to>
    <xdr:sp macro="" textlink="">
      <xdr:nvSpPr>
        <xdr:cNvPr id="1399" name="right_arrow_1_3">
          <a:hlinkClick xmlns:r="http://schemas.openxmlformats.org/officeDocument/2006/relationships" r:id="rId4"/>
          <a:extLst>
            <a:ext uri="{FF2B5EF4-FFF2-40B4-BE49-F238E27FC236}">
              <a16:creationId xmlns:a16="http://schemas.microsoft.com/office/drawing/2014/main" id="{00000000-0008-0000-0200-000077050000}"/>
            </a:ext>
          </a:extLst>
        </xdr:cNvPr>
        <xdr:cNvSpPr>
          <a:spLocks noChangeArrowheads="1"/>
        </xdr:cNvSpPr>
      </xdr:nvSpPr>
      <xdr:spPr bwMode="auto">
        <a:xfrm>
          <a:off x="8255000" y="8324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8074" name="hyper_index_29">
          <a:hlinkClick xmlns:r="http://schemas.openxmlformats.org/officeDocument/2006/relationships" r:id="rId1"/>
          <a:extLst>
            <a:ext uri="{FF2B5EF4-FFF2-40B4-BE49-F238E27FC236}">
              <a16:creationId xmlns:a16="http://schemas.microsoft.com/office/drawing/2014/main" id="{00000000-0008-0000-2900-00000A5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88075" name="left_arrow_29">
          <a:hlinkClick xmlns:r="http://schemas.openxmlformats.org/officeDocument/2006/relationships" r:id="rId3"/>
          <a:extLst>
            <a:ext uri="{FF2B5EF4-FFF2-40B4-BE49-F238E27FC236}">
              <a16:creationId xmlns:a16="http://schemas.microsoft.com/office/drawing/2014/main" id="{00000000-0008-0000-2900-00000B58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68</xdr:row>
      <xdr:rowOff>101600</xdr:rowOff>
    </xdr:from>
    <xdr:to>
      <xdr:col>2</xdr:col>
      <xdr:colOff>228600</xdr:colOff>
      <xdr:row>70</xdr:row>
      <xdr:rowOff>6350</xdr:rowOff>
    </xdr:to>
    <xdr:sp macro="" textlink="">
      <xdr:nvSpPr>
        <xdr:cNvPr id="88076" name="left_arrow_1_29">
          <a:hlinkClick xmlns:r="http://schemas.openxmlformats.org/officeDocument/2006/relationships" r:id="rId3"/>
          <a:extLst>
            <a:ext uri="{FF2B5EF4-FFF2-40B4-BE49-F238E27FC236}">
              <a16:creationId xmlns:a16="http://schemas.microsoft.com/office/drawing/2014/main" id="{00000000-0008-0000-2900-00000C580100}"/>
            </a:ext>
          </a:extLst>
        </xdr:cNvPr>
        <xdr:cNvSpPr>
          <a:spLocks noChangeArrowheads="1"/>
        </xdr:cNvSpPr>
      </xdr:nvSpPr>
      <xdr:spPr bwMode="auto">
        <a:xfrm rot="10800000">
          <a:off x="158750" y="1119505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88077" name="right_arrow_29">
          <a:hlinkClick xmlns:r="http://schemas.openxmlformats.org/officeDocument/2006/relationships" r:id="rId4"/>
          <a:extLst>
            <a:ext uri="{FF2B5EF4-FFF2-40B4-BE49-F238E27FC236}">
              <a16:creationId xmlns:a16="http://schemas.microsoft.com/office/drawing/2014/main" id="{00000000-0008-0000-2900-00000D58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68</xdr:row>
      <xdr:rowOff>101600</xdr:rowOff>
    </xdr:from>
    <xdr:to>
      <xdr:col>15</xdr:col>
      <xdr:colOff>31750</xdr:colOff>
      <xdr:row>70</xdr:row>
      <xdr:rowOff>6350</xdr:rowOff>
    </xdr:to>
    <xdr:sp macro="" textlink="">
      <xdr:nvSpPr>
        <xdr:cNvPr id="88078" name="right_arrow_1_29">
          <a:hlinkClick xmlns:r="http://schemas.openxmlformats.org/officeDocument/2006/relationships" r:id="rId4"/>
          <a:extLst>
            <a:ext uri="{FF2B5EF4-FFF2-40B4-BE49-F238E27FC236}">
              <a16:creationId xmlns:a16="http://schemas.microsoft.com/office/drawing/2014/main" id="{00000000-0008-0000-2900-00000E580100}"/>
            </a:ext>
          </a:extLst>
        </xdr:cNvPr>
        <xdr:cNvSpPr>
          <a:spLocks noChangeArrowheads="1"/>
        </xdr:cNvSpPr>
      </xdr:nvSpPr>
      <xdr:spPr bwMode="auto">
        <a:xfrm>
          <a:off x="7886700" y="1119505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9106" name="hyper_index_30">
          <a:hlinkClick xmlns:r="http://schemas.openxmlformats.org/officeDocument/2006/relationships" r:id="rId1"/>
          <a:extLst>
            <a:ext uri="{FF2B5EF4-FFF2-40B4-BE49-F238E27FC236}">
              <a16:creationId xmlns:a16="http://schemas.microsoft.com/office/drawing/2014/main" id="{00000000-0008-0000-2A00-0000125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89107" name="left_arrow_30">
          <a:hlinkClick xmlns:r="http://schemas.openxmlformats.org/officeDocument/2006/relationships" r:id="rId3"/>
          <a:extLst>
            <a:ext uri="{FF2B5EF4-FFF2-40B4-BE49-F238E27FC236}">
              <a16:creationId xmlns:a16="http://schemas.microsoft.com/office/drawing/2014/main" id="{00000000-0008-0000-2A00-0000135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93</xdr:row>
      <xdr:rowOff>101600</xdr:rowOff>
    </xdr:from>
    <xdr:to>
      <xdr:col>2</xdr:col>
      <xdr:colOff>241300</xdr:colOff>
      <xdr:row>95</xdr:row>
      <xdr:rowOff>6350</xdr:rowOff>
    </xdr:to>
    <xdr:sp macro="" textlink="">
      <xdr:nvSpPr>
        <xdr:cNvPr id="89108" name="left_arrow_1_30">
          <a:hlinkClick xmlns:r="http://schemas.openxmlformats.org/officeDocument/2006/relationships" r:id="rId3"/>
          <a:extLst>
            <a:ext uri="{FF2B5EF4-FFF2-40B4-BE49-F238E27FC236}">
              <a16:creationId xmlns:a16="http://schemas.microsoft.com/office/drawing/2014/main" id="{00000000-0008-0000-2A00-0000145C0100}"/>
            </a:ext>
          </a:extLst>
        </xdr:cNvPr>
        <xdr:cNvSpPr>
          <a:spLocks noChangeArrowheads="1"/>
        </xdr:cNvSpPr>
      </xdr:nvSpPr>
      <xdr:spPr bwMode="auto">
        <a:xfrm rot="10800000">
          <a:off x="158750" y="151765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89109" name="right_arrow_30">
          <a:hlinkClick xmlns:r="http://schemas.openxmlformats.org/officeDocument/2006/relationships" r:id="rId4"/>
          <a:extLst>
            <a:ext uri="{FF2B5EF4-FFF2-40B4-BE49-F238E27FC236}">
              <a16:creationId xmlns:a16="http://schemas.microsoft.com/office/drawing/2014/main" id="{00000000-0008-0000-2A00-0000155C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93</xdr:row>
      <xdr:rowOff>101600</xdr:rowOff>
    </xdr:from>
    <xdr:to>
      <xdr:col>15</xdr:col>
      <xdr:colOff>31750</xdr:colOff>
      <xdr:row>95</xdr:row>
      <xdr:rowOff>6350</xdr:rowOff>
    </xdr:to>
    <xdr:sp macro="" textlink="">
      <xdr:nvSpPr>
        <xdr:cNvPr id="89110" name="right_arrow_1_30">
          <a:hlinkClick xmlns:r="http://schemas.openxmlformats.org/officeDocument/2006/relationships" r:id="rId4"/>
          <a:extLst>
            <a:ext uri="{FF2B5EF4-FFF2-40B4-BE49-F238E27FC236}">
              <a16:creationId xmlns:a16="http://schemas.microsoft.com/office/drawing/2014/main" id="{00000000-0008-0000-2A00-0000165C0100}"/>
            </a:ext>
          </a:extLst>
        </xdr:cNvPr>
        <xdr:cNvSpPr>
          <a:spLocks noChangeArrowheads="1"/>
        </xdr:cNvSpPr>
      </xdr:nvSpPr>
      <xdr:spPr bwMode="auto">
        <a:xfrm>
          <a:off x="8286750" y="151765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3734" name="hyper_index_31">
          <a:hlinkClick xmlns:r="http://schemas.openxmlformats.org/officeDocument/2006/relationships" r:id="rId1"/>
          <a:extLst>
            <a:ext uri="{FF2B5EF4-FFF2-40B4-BE49-F238E27FC236}">
              <a16:creationId xmlns:a16="http://schemas.microsoft.com/office/drawing/2014/main" id="{00000000-0008-0000-2B00-0000062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3735" name="left_arrow_31">
          <a:hlinkClick xmlns:r="http://schemas.openxmlformats.org/officeDocument/2006/relationships" r:id="rId3"/>
          <a:extLst>
            <a:ext uri="{FF2B5EF4-FFF2-40B4-BE49-F238E27FC236}">
              <a16:creationId xmlns:a16="http://schemas.microsoft.com/office/drawing/2014/main" id="{00000000-0008-0000-2B00-0000072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119</xdr:row>
      <xdr:rowOff>101600</xdr:rowOff>
    </xdr:from>
    <xdr:to>
      <xdr:col>2</xdr:col>
      <xdr:colOff>241300</xdr:colOff>
      <xdr:row>121</xdr:row>
      <xdr:rowOff>6350</xdr:rowOff>
    </xdr:to>
    <xdr:sp macro="" textlink="">
      <xdr:nvSpPr>
        <xdr:cNvPr id="73736" name="left_arrow_1_31">
          <a:hlinkClick xmlns:r="http://schemas.openxmlformats.org/officeDocument/2006/relationships" r:id="rId3"/>
          <a:extLst>
            <a:ext uri="{FF2B5EF4-FFF2-40B4-BE49-F238E27FC236}">
              <a16:creationId xmlns:a16="http://schemas.microsoft.com/office/drawing/2014/main" id="{00000000-0008-0000-2B00-000008200100}"/>
            </a:ext>
          </a:extLst>
        </xdr:cNvPr>
        <xdr:cNvSpPr>
          <a:spLocks noChangeArrowheads="1"/>
        </xdr:cNvSpPr>
      </xdr:nvSpPr>
      <xdr:spPr bwMode="auto">
        <a:xfrm rot="10800000">
          <a:off x="158750" y="19037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3737" name="right_arrow_31">
          <a:hlinkClick xmlns:r="http://schemas.openxmlformats.org/officeDocument/2006/relationships" r:id="rId4"/>
          <a:extLst>
            <a:ext uri="{FF2B5EF4-FFF2-40B4-BE49-F238E27FC236}">
              <a16:creationId xmlns:a16="http://schemas.microsoft.com/office/drawing/2014/main" id="{00000000-0008-0000-2B00-00000920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119</xdr:row>
      <xdr:rowOff>101600</xdr:rowOff>
    </xdr:from>
    <xdr:to>
      <xdr:col>15</xdr:col>
      <xdr:colOff>31750</xdr:colOff>
      <xdr:row>121</xdr:row>
      <xdr:rowOff>6350</xdr:rowOff>
    </xdr:to>
    <xdr:sp macro="" textlink="">
      <xdr:nvSpPr>
        <xdr:cNvPr id="73738" name="right_arrow_1_31">
          <a:hlinkClick xmlns:r="http://schemas.openxmlformats.org/officeDocument/2006/relationships" r:id="rId4"/>
          <a:extLst>
            <a:ext uri="{FF2B5EF4-FFF2-40B4-BE49-F238E27FC236}">
              <a16:creationId xmlns:a16="http://schemas.microsoft.com/office/drawing/2014/main" id="{00000000-0008-0000-2B00-00000A200100}"/>
            </a:ext>
          </a:extLst>
        </xdr:cNvPr>
        <xdr:cNvSpPr>
          <a:spLocks noChangeArrowheads="1"/>
        </xdr:cNvSpPr>
      </xdr:nvSpPr>
      <xdr:spPr bwMode="auto">
        <a:xfrm>
          <a:off x="8286750" y="190373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92166" name="hyper_index_32">
          <a:hlinkClick xmlns:r="http://schemas.openxmlformats.org/officeDocument/2006/relationships" r:id="rId1"/>
          <a:extLst>
            <a:ext uri="{FF2B5EF4-FFF2-40B4-BE49-F238E27FC236}">
              <a16:creationId xmlns:a16="http://schemas.microsoft.com/office/drawing/2014/main" id="{00000000-0008-0000-2C00-0000066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2167" name="left_arrow_32">
          <a:hlinkClick xmlns:r="http://schemas.openxmlformats.org/officeDocument/2006/relationships" r:id="rId3"/>
          <a:extLst>
            <a:ext uri="{FF2B5EF4-FFF2-40B4-BE49-F238E27FC236}">
              <a16:creationId xmlns:a16="http://schemas.microsoft.com/office/drawing/2014/main" id="{00000000-0008-0000-2C00-00000768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99</xdr:row>
      <xdr:rowOff>101600</xdr:rowOff>
    </xdr:from>
    <xdr:to>
      <xdr:col>2</xdr:col>
      <xdr:colOff>241300</xdr:colOff>
      <xdr:row>101</xdr:row>
      <xdr:rowOff>6350</xdr:rowOff>
    </xdr:to>
    <xdr:sp macro="" textlink="">
      <xdr:nvSpPr>
        <xdr:cNvPr id="92168" name="left_arrow_1_32">
          <a:hlinkClick xmlns:r="http://schemas.openxmlformats.org/officeDocument/2006/relationships" r:id="rId3"/>
          <a:extLst>
            <a:ext uri="{FF2B5EF4-FFF2-40B4-BE49-F238E27FC236}">
              <a16:creationId xmlns:a16="http://schemas.microsoft.com/office/drawing/2014/main" id="{00000000-0008-0000-2C00-000008680100}"/>
            </a:ext>
          </a:extLst>
        </xdr:cNvPr>
        <xdr:cNvSpPr>
          <a:spLocks noChangeArrowheads="1"/>
        </xdr:cNvSpPr>
      </xdr:nvSpPr>
      <xdr:spPr bwMode="auto">
        <a:xfrm rot="10800000">
          <a:off x="158750" y="156591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92169" name="right_arrow_32">
          <a:hlinkClick xmlns:r="http://schemas.openxmlformats.org/officeDocument/2006/relationships" r:id="rId4"/>
          <a:extLst>
            <a:ext uri="{FF2B5EF4-FFF2-40B4-BE49-F238E27FC236}">
              <a16:creationId xmlns:a16="http://schemas.microsoft.com/office/drawing/2014/main" id="{00000000-0008-0000-2C00-00000968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99</xdr:row>
      <xdr:rowOff>101600</xdr:rowOff>
    </xdr:from>
    <xdr:to>
      <xdr:col>15</xdr:col>
      <xdr:colOff>31750</xdr:colOff>
      <xdr:row>101</xdr:row>
      <xdr:rowOff>6350</xdr:rowOff>
    </xdr:to>
    <xdr:sp macro="" textlink="">
      <xdr:nvSpPr>
        <xdr:cNvPr id="92170" name="right_arrow_1_32">
          <a:hlinkClick xmlns:r="http://schemas.openxmlformats.org/officeDocument/2006/relationships" r:id="rId4"/>
          <a:extLst>
            <a:ext uri="{FF2B5EF4-FFF2-40B4-BE49-F238E27FC236}">
              <a16:creationId xmlns:a16="http://schemas.microsoft.com/office/drawing/2014/main" id="{00000000-0008-0000-2C00-00000A680100}"/>
            </a:ext>
          </a:extLst>
        </xdr:cNvPr>
        <xdr:cNvSpPr>
          <a:spLocks noChangeArrowheads="1"/>
        </xdr:cNvSpPr>
      </xdr:nvSpPr>
      <xdr:spPr bwMode="auto">
        <a:xfrm>
          <a:off x="8286750" y="156591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94215" name="hyper_index_33">
          <a:hlinkClick xmlns:r="http://schemas.openxmlformats.org/officeDocument/2006/relationships" r:id="rId1"/>
          <a:extLst>
            <a:ext uri="{FF2B5EF4-FFF2-40B4-BE49-F238E27FC236}">
              <a16:creationId xmlns:a16="http://schemas.microsoft.com/office/drawing/2014/main" id="{00000000-0008-0000-2D00-0000077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4216" name="left_arrow_33">
          <a:hlinkClick xmlns:r="http://schemas.openxmlformats.org/officeDocument/2006/relationships" r:id="rId3"/>
          <a:extLst>
            <a:ext uri="{FF2B5EF4-FFF2-40B4-BE49-F238E27FC236}">
              <a16:creationId xmlns:a16="http://schemas.microsoft.com/office/drawing/2014/main" id="{00000000-0008-0000-2D00-0000087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77</xdr:row>
      <xdr:rowOff>101600</xdr:rowOff>
    </xdr:from>
    <xdr:to>
      <xdr:col>2</xdr:col>
      <xdr:colOff>241300</xdr:colOff>
      <xdr:row>79</xdr:row>
      <xdr:rowOff>6350</xdr:rowOff>
    </xdr:to>
    <xdr:sp macro="" textlink="">
      <xdr:nvSpPr>
        <xdr:cNvPr id="94217" name="left_arrow_1_33">
          <a:hlinkClick xmlns:r="http://schemas.openxmlformats.org/officeDocument/2006/relationships" r:id="rId3"/>
          <a:extLst>
            <a:ext uri="{FF2B5EF4-FFF2-40B4-BE49-F238E27FC236}">
              <a16:creationId xmlns:a16="http://schemas.microsoft.com/office/drawing/2014/main" id="{00000000-0008-0000-2D00-000009700100}"/>
            </a:ext>
          </a:extLst>
        </xdr:cNvPr>
        <xdr:cNvSpPr>
          <a:spLocks noChangeArrowheads="1"/>
        </xdr:cNvSpPr>
      </xdr:nvSpPr>
      <xdr:spPr bwMode="auto">
        <a:xfrm rot="10800000">
          <a:off x="158750" y="125539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94218" name="right_arrow_33">
          <a:hlinkClick xmlns:r="http://schemas.openxmlformats.org/officeDocument/2006/relationships" r:id="rId4"/>
          <a:extLst>
            <a:ext uri="{FF2B5EF4-FFF2-40B4-BE49-F238E27FC236}">
              <a16:creationId xmlns:a16="http://schemas.microsoft.com/office/drawing/2014/main" id="{00000000-0008-0000-2D00-00000A70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77</xdr:row>
      <xdr:rowOff>101600</xdr:rowOff>
    </xdr:from>
    <xdr:to>
      <xdr:col>15</xdr:col>
      <xdr:colOff>31750</xdr:colOff>
      <xdr:row>79</xdr:row>
      <xdr:rowOff>6350</xdr:rowOff>
    </xdr:to>
    <xdr:sp macro="" textlink="">
      <xdr:nvSpPr>
        <xdr:cNvPr id="94219" name="right_arrow_1_33">
          <a:hlinkClick xmlns:r="http://schemas.openxmlformats.org/officeDocument/2006/relationships" r:id="rId4"/>
          <a:extLst>
            <a:ext uri="{FF2B5EF4-FFF2-40B4-BE49-F238E27FC236}">
              <a16:creationId xmlns:a16="http://schemas.microsoft.com/office/drawing/2014/main" id="{00000000-0008-0000-2D00-00000B700100}"/>
            </a:ext>
          </a:extLst>
        </xdr:cNvPr>
        <xdr:cNvSpPr>
          <a:spLocks noChangeArrowheads="1"/>
        </xdr:cNvSpPr>
      </xdr:nvSpPr>
      <xdr:spPr bwMode="auto">
        <a:xfrm>
          <a:off x="8286750" y="125539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488950</xdr:colOff>
          <xdr:row>14</xdr:row>
          <xdr:rowOff>19050</xdr:rowOff>
        </xdr:from>
        <xdr:to>
          <xdr:col>6</xdr:col>
          <xdr:colOff>203200</xdr:colOff>
          <xdr:row>14</xdr:row>
          <xdr:rowOff>222250</xdr:rowOff>
        </xdr:to>
        <xdr:sp macro="" textlink="">
          <xdr:nvSpPr>
            <xdr:cNvPr id="66561" name="Drop Down 1" hidden="1">
              <a:extLst>
                <a:ext uri="{63B3BB69-23CF-44E3-9099-C40C66FF867C}">
                  <a14:compatExt spid="_x0000_s66561"/>
                </a:ext>
                <a:ext uri="{FF2B5EF4-FFF2-40B4-BE49-F238E27FC236}">
                  <a16:creationId xmlns:a16="http://schemas.microsoft.com/office/drawing/2014/main" id="{00000000-0008-0000-2E00-0000010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203200</xdr:colOff>
      <xdr:row>13</xdr:row>
      <xdr:rowOff>76200</xdr:rowOff>
    </xdr:from>
    <xdr:to>
      <xdr:col>14</xdr:col>
      <xdr:colOff>628650</xdr:colOff>
      <xdr:row>23</xdr:row>
      <xdr:rowOff>76200</xdr:rowOff>
    </xdr:to>
    <xdr:graphicFrame macro="">
      <xdr:nvGraphicFramePr>
        <xdr:cNvPr id="66562" name="Chart 2">
          <a:extLst>
            <a:ext uri="{FF2B5EF4-FFF2-40B4-BE49-F238E27FC236}">
              <a16:creationId xmlns:a16="http://schemas.microsoft.com/office/drawing/2014/main" id="{00000000-0008-0000-2E00-0000020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330200</xdr:colOff>
      <xdr:row>139</xdr:row>
      <xdr:rowOff>76200</xdr:rowOff>
    </xdr:from>
    <xdr:to>
      <xdr:col>3</xdr:col>
      <xdr:colOff>330200</xdr:colOff>
      <xdr:row>140</xdr:row>
      <xdr:rowOff>76200</xdr:rowOff>
    </xdr:to>
    <xdr:sp macro="" textlink="">
      <xdr:nvSpPr>
        <xdr:cNvPr id="66571" name="Line 11">
          <a:extLst>
            <a:ext uri="{FF2B5EF4-FFF2-40B4-BE49-F238E27FC236}">
              <a16:creationId xmlns:a16="http://schemas.microsoft.com/office/drawing/2014/main" id="{00000000-0008-0000-2E00-00000B040100}"/>
            </a:ext>
          </a:extLst>
        </xdr:cNvPr>
        <xdr:cNvSpPr>
          <a:spLocks noChangeShapeType="1"/>
        </xdr:cNvSpPr>
      </xdr:nvSpPr>
      <xdr:spPr bwMode="auto">
        <a:xfrm>
          <a:off x="1111250" y="22517100"/>
          <a:ext cx="0" cy="158750"/>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342900</xdr:colOff>
      <xdr:row>140</xdr:row>
      <xdr:rowOff>82550</xdr:rowOff>
    </xdr:from>
    <xdr:to>
      <xdr:col>4</xdr:col>
      <xdr:colOff>622300</xdr:colOff>
      <xdr:row>140</xdr:row>
      <xdr:rowOff>82550</xdr:rowOff>
    </xdr:to>
    <xdr:sp macro="" textlink="">
      <xdr:nvSpPr>
        <xdr:cNvPr id="66572" name="Line 12">
          <a:extLst>
            <a:ext uri="{FF2B5EF4-FFF2-40B4-BE49-F238E27FC236}">
              <a16:creationId xmlns:a16="http://schemas.microsoft.com/office/drawing/2014/main" id="{00000000-0008-0000-2E00-00000C040100}"/>
            </a:ext>
          </a:extLst>
        </xdr:cNvPr>
        <xdr:cNvSpPr>
          <a:spLocks noChangeShapeType="1"/>
        </xdr:cNvSpPr>
      </xdr:nvSpPr>
      <xdr:spPr bwMode="auto">
        <a:xfrm rot="-5400000">
          <a:off x="1584325" y="22221825"/>
          <a:ext cx="0" cy="920750"/>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140</xdr:row>
      <xdr:rowOff>6350</xdr:rowOff>
    </xdr:from>
    <xdr:to>
      <xdr:col>8</xdr:col>
      <xdr:colOff>628650</xdr:colOff>
      <xdr:row>143</xdr:row>
      <xdr:rowOff>0</xdr:rowOff>
    </xdr:to>
    <xdr:sp macro="" textlink="">
      <xdr:nvSpPr>
        <xdr:cNvPr id="66573" name="Rectangle 13">
          <a:extLst>
            <a:ext uri="{FF2B5EF4-FFF2-40B4-BE49-F238E27FC236}">
              <a16:creationId xmlns:a16="http://schemas.microsoft.com/office/drawing/2014/main" id="{00000000-0008-0000-2E00-00000D040100}"/>
            </a:ext>
          </a:extLst>
        </xdr:cNvPr>
        <xdr:cNvSpPr>
          <a:spLocks noChangeArrowheads="1"/>
        </xdr:cNvSpPr>
      </xdr:nvSpPr>
      <xdr:spPr bwMode="auto">
        <a:xfrm>
          <a:off x="2063750" y="22606000"/>
          <a:ext cx="2552700" cy="482600"/>
        </a:xfrm>
        <a:prstGeom prst="rect">
          <a:avLst/>
        </a:prstGeom>
        <a:noFill/>
        <a:ln w="15875">
          <a:solidFill>
            <a:srgbClr xmlns:mc="http://schemas.openxmlformats.org/markup-compatibility/2006" xmlns:a14="http://schemas.microsoft.com/office/drawing/2010/main" val="FF0000" mc:Ignorable="a14" a14:legacySpreadsheetColorIndex="10"/>
          </a:solidFill>
          <a:prstDash val="dash"/>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222250</xdr:colOff>
      <xdr:row>140</xdr:row>
      <xdr:rowOff>0</xdr:rowOff>
    </xdr:from>
    <xdr:to>
      <xdr:col>9</xdr:col>
      <xdr:colOff>222250</xdr:colOff>
      <xdr:row>141</xdr:row>
      <xdr:rowOff>0</xdr:rowOff>
    </xdr:to>
    <xdr:sp macro="" textlink="">
      <xdr:nvSpPr>
        <xdr:cNvPr id="66575" name="Line 15">
          <a:extLst>
            <a:ext uri="{FF2B5EF4-FFF2-40B4-BE49-F238E27FC236}">
              <a16:creationId xmlns:a16="http://schemas.microsoft.com/office/drawing/2014/main" id="{00000000-0008-0000-2E00-00000F040100}"/>
            </a:ext>
          </a:extLst>
        </xdr:cNvPr>
        <xdr:cNvSpPr>
          <a:spLocks noChangeShapeType="1"/>
        </xdr:cNvSpPr>
      </xdr:nvSpPr>
      <xdr:spPr bwMode="auto">
        <a:xfrm>
          <a:off x="4851400" y="22599650"/>
          <a:ext cx="0" cy="16510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222250</xdr:colOff>
      <xdr:row>142</xdr:row>
      <xdr:rowOff>6350</xdr:rowOff>
    </xdr:from>
    <xdr:to>
      <xdr:col>9</xdr:col>
      <xdr:colOff>222250</xdr:colOff>
      <xdr:row>143</xdr:row>
      <xdr:rowOff>6350</xdr:rowOff>
    </xdr:to>
    <xdr:sp macro="" textlink="">
      <xdr:nvSpPr>
        <xdr:cNvPr id="66576" name="Line 16">
          <a:extLst>
            <a:ext uri="{FF2B5EF4-FFF2-40B4-BE49-F238E27FC236}">
              <a16:creationId xmlns:a16="http://schemas.microsoft.com/office/drawing/2014/main" id="{00000000-0008-0000-2E00-000010040100}"/>
            </a:ext>
          </a:extLst>
        </xdr:cNvPr>
        <xdr:cNvSpPr>
          <a:spLocks noChangeShapeType="1"/>
        </xdr:cNvSpPr>
      </xdr:nvSpPr>
      <xdr:spPr bwMode="auto">
        <a:xfrm>
          <a:off x="4851400" y="22936200"/>
          <a:ext cx="0" cy="15875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19050</xdr:colOff>
      <xdr:row>0</xdr:row>
      <xdr:rowOff>25400</xdr:rowOff>
    </xdr:from>
    <xdr:to>
      <xdr:col>9</xdr:col>
      <xdr:colOff>88900</xdr:colOff>
      <xdr:row>1</xdr:row>
      <xdr:rowOff>76200</xdr:rowOff>
    </xdr:to>
    <xdr:pic>
      <xdr:nvPicPr>
        <xdr:cNvPr id="66580" name="hyper_index_34">
          <a:hlinkClick xmlns:r="http://schemas.openxmlformats.org/officeDocument/2006/relationships" r:id="rId2"/>
          <a:extLst>
            <a:ext uri="{FF2B5EF4-FFF2-40B4-BE49-F238E27FC236}">
              <a16:creationId xmlns:a16="http://schemas.microsoft.com/office/drawing/2014/main" id="{00000000-0008-0000-2E00-0000140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66581" name="left_arrow_34">
          <a:hlinkClick xmlns:r="http://schemas.openxmlformats.org/officeDocument/2006/relationships" r:id="rId4"/>
          <a:extLst>
            <a:ext uri="{FF2B5EF4-FFF2-40B4-BE49-F238E27FC236}">
              <a16:creationId xmlns:a16="http://schemas.microsoft.com/office/drawing/2014/main" id="{00000000-0008-0000-2E00-0000150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185</xdr:row>
      <xdr:rowOff>101600</xdr:rowOff>
    </xdr:from>
    <xdr:to>
      <xdr:col>2</xdr:col>
      <xdr:colOff>241300</xdr:colOff>
      <xdr:row>187</xdr:row>
      <xdr:rowOff>6350</xdr:rowOff>
    </xdr:to>
    <xdr:sp macro="" textlink="">
      <xdr:nvSpPr>
        <xdr:cNvPr id="66582" name="left_arrow_1_34">
          <a:hlinkClick xmlns:r="http://schemas.openxmlformats.org/officeDocument/2006/relationships" r:id="rId4"/>
          <a:extLst>
            <a:ext uri="{FF2B5EF4-FFF2-40B4-BE49-F238E27FC236}">
              <a16:creationId xmlns:a16="http://schemas.microsoft.com/office/drawing/2014/main" id="{00000000-0008-0000-2E00-000016040100}"/>
            </a:ext>
          </a:extLst>
        </xdr:cNvPr>
        <xdr:cNvSpPr>
          <a:spLocks noChangeArrowheads="1"/>
        </xdr:cNvSpPr>
      </xdr:nvSpPr>
      <xdr:spPr bwMode="auto">
        <a:xfrm rot="10800000">
          <a:off x="158750" y="29895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66583" name="right_arrow_34">
          <a:hlinkClick xmlns:r="http://schemas.openxmlformats.org/officeDocument/2006/relationships" r:id="rId5"/>
          <a:extLst>
            <a:ext uri="{FF2B5EF4-FFF2-40B4-BE49-F238E27FC236}">
              <a16:creationId xmlns:a16="http://schemas.microsoft.com/office/drawing/2014/main" id="{00000000-0008-0000-2E00-00001704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185</xdr:row>
      <xdr:rowOff>101600</xdr:rowOff>
    </xdr:from>
    <xdr:to>
      <xdr:col>15</xdr:col>
      <xdr:colOff>31750</xdr:colOff>
      <xdr:row>187</xdr:row>
      <xdr:rowOff>6350</xdr:rowOff>
    </xdr:to>
    <xdr:sp macro="" textlink="">
      <xdr:nvSpPr>
        <xdr:cNvPr id="66584" name="right_arrow_1_34">
          <a:hlinkClick xmlns:r="http://schemas.openxmlformats.org/officeDocument/2006/relationships" r:id="rId5"/>
          <a:extLst>
            <a:ext uri="{FF2B5EF4-FFF2-40B4-BE49-F238E27FC236}">
              <a16:creationId xmlns:a16="http://schemas.microsoft.com/office/drawing/2014/main" id="{00000000-0008-0000-2E00-000018040100}"/>
            </a:ext>
          </a:extLst>
        </xdr:cNvPr>
        <xdr:cNvSpPr>
          <a:spLocks noChangeArrowheads="1"/>
        </xdr:cNvSpPr>
      </xdr:nvSpPr>
      <xdr:spPr bwMode="auto">
        <a:xfrm>
          <a:off x="8286750" y="29895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5780" name="hyper_index_35">
          <a:hlinkClick xmlns:r="http://schemas.openxmlformats.org/officeDocument/2006/relationships" r:id="rId1"/>
          <a:extLst>
            <a:ext uri="{FF2B5EF4-FFF2-40B4-BE49-F238E27FC236}">
              <a16:creationId xmlns:a16="http://schemas.microsoft.com/office/drawing/2014/main" id="{00000000-0008-0000-2F00-0000042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5781" name="left_arrow_35">
          <a:hlinkClick xmlns:r="http://schemas.openxmlformats.org/officeDocument/2006/relationships" r:id="rId3"/>
          <a:extLst>
            <a:ext uri="{FF2B5EF4-FFF2-40B4-BE49-F238E27FC236}">
              <a16:creationId xmlns:a16="http://schemas.microsoft.com/office/drawing/2014/main" id="{00000000-0008-0000-2F00-00000528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72</xdr:row>
      <xdr:rowOff>101600</xdr:rowOff>
    </xdr:from>
    <xdr:to>
      <xdr:col>2</xdr:col>
      <xdr:colOff>241300</xdr:colOff>
      <xdr:row>74</xdr:row>
      <xdr:rowOff>6350</xdr:rowOff>
    </xdr:to>
    <xdr:sp macro="" textlink="">
      <xdr:nvSpPr>
        <xdr:cNvPr id="75782" name="left_arrow_1_35">
          <a:hlinkClick xmlns:r="http://schemas.openxmlformats.org/officeDocument/2006/relationships" r:id="rId3"/>
          <a:extLst>
            <a:ext uri="{FF2B5EF4-FFF2-40B4-BE49-F238E27FC236}">
              <a16:creationId xmlns:a16="http://schemas.microsoft.com/office/drawing/2014/main" id="{00000000-0008-0000-2F00-000006280100}"/>
            </a:ext>
          </a:extLst>
        </xdr:cNvPr>
        <xdr:cNvSpPr>
          <a:spLocks noChangeArrowheads="1"/>
        </xdr:cNvSpPr>
      </xdr:nvSpPr>
      <xdr:spPr bwMode="auto">
        <a:xfrm rot="10800000">
          <a:off x="158750" y="11842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5783" name="right_arrow_35">
          <a:hlinkClick xmlns:r="http://schemas.openxmlformats.org/officeDocument/2006/relationships" r:id="rId4"/>
          <a:extLst>
            <a:ext uri="{FF2B5EF4-FFF2-40B4-BE49-F238E27FC236}">
              <a16:creationId xmlns:a16="http://schemas.microsoft.com/office/drawing/2014/main" id="{00000000-0008-0000-2F00-00000728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72</xdr:row>
      <xdr:rowOff>101600</xdr:rowOff>
    </xdr:from>
    <xdr:to>
      <xdr:col>15</xdr:col>
      <xdr:colOff>31750</xdr:colOff>
      <xdr:row>74</xdr:row>
      <xdr:rowOff>6350</xdr:rowOff>
    </xdr:to>
    <xdr:sp macro="" textlink="">
      <xdr:nvSpPr>
        <xdr:cNvPr id="75784" name="right_arrow_1_35">
          <a:hlinkClick xmlns:r="http://schemas.openxmlformats.org/officeDocument/2006/relationships" r:id="rId4"/>
          <a:extLst>
            <a:ext uri="{FF2B5EF4-FFF2-40B4-BE49-F238E27FC236}">
              <a16:creationId xmlns:a16="http://schemas.microsoft.com/office/drawing/2014/main" id="{00000000-0008-0000-2F00-000008280100}"/>
            </a:ext>
          </a:extLst>
        </xdr:cNvPr>
        <xdr:cNvSpPr>
          <a:spLocks noChangeArrowheads="1"/>
        </xdr:cNvSpPr>
      </xdr:nvSpPr>
      <xdr:spPr bwMode="auto">
        <a:xfrm>
          <a:off x="8286750" y="11842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7</xdr:col>
      <xdr:colOff>450850</xdr:colOff>
      <xdr:row>0</xdr:row>
      <xdr:rowOff>25400</xdr:rowOff>
    </xdr:from>
    <xdr:to>
      <xdr:col>8</xdr:col>
      <xdr:colOff>520700</xdr:colOff>
      <xdr:row>1</xdr:row>
      <xdr:rowOff>76200</xdr:rowOff>
    </xdr:to>
    <xdr:pic>
      <xdr:nvPicPr>
        <xdr:cNvPr id="90125" name="hyper_index_36">
          <a:hlinkClick xmlns:r="http://schemas.openxmlformats.org/officeDocument/2006/relationships" r:id="rId1"/>
          <a:extLst>
            <a:ext uri="{FF2B5EF4-FFF2-40B4-BE49-F238E27FC236}">
              <a16:creationId xmlns:a16="http://schemas.microsoft.com/office/drawing/2014/main" id="{00000000-0008-0000-3000-00000D6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941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0126" name="left_arrow_36">
          <a:hlinkClick xmlns:r="http://schemas.openxmlformats.org/officeDocument/2006/relationships" r:id="rId3"/>
          <a:extLst>
            <a:ext uri="{FF2B5EF4-FFF2-40B4-BE49-F238E27FC236}">
              <a16:creationId xmlns:a16="http://schemas.microsoft.com/office/drawing/2014/main" id="{00000000-0008-0000-3000-00000E6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394</xdr:row>
      <xdr:rowOff>101600</xdr:rowOff>
    </xdr:from>
    <xdr:to>
      <xdr:col>2</xdr:col>
      <xdr:colOff>241300</xdr:colOff>
      <xdr:row>396</xdr:row>
      <xdr:rowOff>6350</xdr:rowOff>
    </xdr:to>
    <xdr:sp macro="" textlink="">
      <xdr:nvSpPr>
        <xdr:cNvPr id="90127" name="left_arrow_1_36">
          <a:hlinkClick xmlns:r="http://schemas.openxmlformats.org/officeDocument/2006/relationships" r:id="rId3"/>
          <a:extLst>
            <a:ext uri="{FF2B5EF4-FFF2-40B4-BE49-F238E27FC236}">
              <a16:creationId xmlns:a16="http://schemas.microsoft.com/office/drawing/2014/main" id="{00000000-0008-0000-3000-00000F600100}"/>
            </a:ext>
          </a:extLst>
        </xdr:cNvPr>
        <xdr:cNvSpPr>
          <a:spLocks noChangeArrowheads="1"/>
        </xdr:cNvSpPr>
      </xdr:nvSpPr>
      <xdr:spPr bwMode="auto">
        <a:xfrm rot="10800000">
          <a:off x="158750" y="277622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241300</xdr:colOff>
      <xdr:row>0</xdr:row>
      <xdr:rowOff>44450</xdr:rowOff>
    </xdr:from>
    <xdr:to>
      <xdr:col>14</xdr:col>
      <xdr:colOff>463550</xdr:colOff>
      <xdr:row>1</xdr:row>
      <xdr:rowOff>114300</xdr:rowOff>
    </xdr:to>
    <xdr:sp macro="" textlink="">
      <xdr:nvSpPr>
        <xdr:cNvPr id="90128" name="right_arrow_36">
          <a:hlinkClick xmlns:r="http://schemas.openxmlformats.org/officeDocument/2006/relationships" r:id="rId4"/>
          <a:extLst>
            <a:ext uri="{FF2B5EF4-FFF2-40B4-BE49-F238E27FC236}">
              <a16:creationId xmlns:a16="http://schemas.microsoft.com/office/drawing/2014/main" id="{00000000-0008-0000-3000-000010600100}"/>
            </a:ext>
          </a:extLst>
        </xdr:cNvPr>
        <xdr:cNvSpPr>
          <a:spLocks noChangeArrowheads="1"/>
        </xdr:cNvSpPr>
      </xdr:nvSpPr>
      <xdr:spPr bwMode="auto">
        <a:xfrm>
          <a:off x="82740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241300</xdr:colOff>
      <xdr:row>394</xdr:row>
      <xdr:rowOff>101600</xdr:rowOff>
    </xdr:from>
    <xdr:to>
      <xdr:col>14</xdr:col>
      <xdr:colOff>463550</xdr:colOff>
      <xdr:row>396</xdr:row>
      <xdr:rowOff>6350</xdr:rowOff>
    </xdr:to>
    <xdr:sp macro="" textlink="">
      <xdr:nvSpPr>
        <xdr:cNvPr id="90129" name="right_arrow_1_36">
          <a:hlinkClick xmlns:r="http://schemas.openxmlformats.org/officeDocument/2006/relationships" r:id="rId4"/>
          <a:extLst>
            <a:ext uri="{FF2B5EF4-FFF2-40B4-BE49-F238E27FC236}">
              <a16:creationId xmlns:a16="http://schemas.microsoft.com/office/drawing/2014/main" id="{00000000-0008-0000-3000-000011600100}"/>
            </a:ext>
          </a:extLst>
        </xdr:cNvPr>
        <xdr:cNvSpPr>
          <a:spLocks noChangeArrowheads="1"/>
        </xdr:cNvSpPr>
      </xdr:nvSpPr>
      <xdr:spPr bwMode="auto">
        <a:xfrm>
          <a:off x="8274050" y="277622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71688" name="hyper_index_37">
          <a:hlinkClick xmlns:r="http://schemas.openxmlformats.org/officeDocument/2006/relationships" r:id="rId1"/>
          <a:extLst>
            <a:ext uri="{FF2B5EF4-FFF2-40B4-BE49-F238E27FC236}">
              <a16:creationId xmlns:a16="http://schemas.microsoft.com/office/drawing/2014/main" id="{00000000-0008-0000-3100-0000081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71689" name="left_arrow_37">
          <a:hlinkClick xmlns:r="http://schemas.openxmlformats.org/officeDocument/2006/relationships" r:id="rId3"/>
          <a:extLst>
            <a:ext uri="{FF2B5EF4-FFF2-40B4-BE49-F238E27FC236}">
              <a16:creationId xmlns:a16="http://schemas.microsoft.com/office/drawing/2014/main" id="{00000000-0008-0000-3100-00000918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210</xdr:row>
      <xdr:rowOff>101600</xdr:rowOff>
    </xdr:from>
    <xdr:to>
      <xdr:col>2</xdr:col>
      <xdr:colOff>241300</xdr:colOff>
      <xdr:row>212</xdr:row>
      <xdr:rowOff>6350</xdr:rowOff>
    </xdr:to>
    <xdr:sp macro="" textlink="">
      <xdr:nvSpPr>
        <xdr:cNvPr id="71690" name="left_arrow_1_37">
          <a:hlinkClick xmlns:r="http://schemas.openxmlformats.org/officeDocument/2006/relationships" r:id="rId3"/>
          <a:extLst>
            <a:ext uri="{FF2B5EF4-FFF2-40B4-BE49-F238E27FC236}">
              <a16:creationId xmlns:a16="http://schemas.microsoft.com/office/drawing/2014/main" id="{00000000-0008-0000-3100-00000A180100}"/>
            </a:ext>
          </a:extLst>
        </xdr:cNvPr>
        <xdr:cNvSpPr>
          <a:spLocks noChangeArrowheads="1"/>
        </xdr:cNvSpPr>
      </xdr:nvSpPr>
      <xdr:spPr bwMode="auto">
        <a:xfrm rot="10800000">
          <a:off x="158750" y="33851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71691" name="right_arrow_37">
          <a:hlinkClick xmlns:r="http://schemas.openxmlformats.org/officeDocument/2006/relationships" r:id="rId4"/>
          <a:extLst>
            <a:ext uri="{FF2B5EF4-FFF2-40B4-BE49-F238E27FC236}">
              <a16:creationId xmlns:a16="http://schemas.microsoft.com/office/drawing/2014/main" id="{00000000-0008-0000-3100-00000B18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210</xdr:row>
      <xdr:rowOff>101600</xdr:rowOff>
    </xdr:from>
    <xdr:to>
      <xdr:col>15</xdr:col>
      <xdr:colOff>31750</xdr:colOff>
      <xdr:row>212</xdr:row>
      <xdr:rowOff>6350</xdr:rowOff>
    </xdr:to>
    <xdr:sp macro="" textlink="">
      <xdr:nvSpPr>
        <xdr:cNvPr id="71692" name="right_arrow_1_37">
          <a:hlinkClick xmlns:r="http://schemas.openxmlformats.org/officeDocument/2006/relationships" r:id="rId4"/>
          <a:extLst>
            <a:ext uri="{FF2B5EF4-FFF2-40B4-BE49-F238E27FC236}">
              <a16:creationId xmlns:a16="http://schemas.microsoft.com/office/drawing/2014/main" id="{00000000-0008-0000-3100-00000C180100}"/>
            </a:ext>
          </a:extLst>
        </xdr:cNvPr>
        <xdr:cNvSpPr>
          <a:spLocks noChangeArrowheads="1"/>
        </xdr:cNvSpPr>
      </xdr:nvSpPr>
      <xdr:spPr bwMode="auto">
        <a:xfrm>
          <a:off x="8286750" y="33851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6024" name="hyper_index_38">
          <a:hlinkClick xmlns:r="http://schemas.openxmlformats.org/officeDocument/2006/relationships" r:id="rId1"/>
          <a:extLst>
            <a:ext uri="{FF2B5EF4-FFF2-40B4-BE49-F238E27FC236}">
              <a16:creationId xmlns:a16="http://schemas.microsoft.com/office/drawing/2014/main" id="{00000000-0008-0000-3200-0000085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86025" name="left_arrow_38">
          <a:hlinkClick xmlns:r="http://schemas.openxmlformats.org/officeDocument/2006/relationships" r:id="rId3"/>
          <a:extLst>
            <a:ext uri="{FF2B5EF4-FFF2-40B4-BE49-F238E27FC236}">
              <a16:creationId xmlns:a16="http://schemas.microsoft.com/office/drawing/2014/main" id="{00000000-0008-0000-3200-00000950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66</xdr:row>
      <xdr:rowOff>101600</xdr:rowOff>
    </xdr:from>
    <xdr:to>
      <xdr:col>2</xdr:col>
      <xdr:colOff>228600</xdr:colOff>
      <xdr:row>68</xdr:row>
      <xdr:rowOff>6350</xdr:rowOff>
    </xdr:to>
    <xdr:sp macro="" textlink="">
      <xdr:nvSpPr>
        <xdr:cNvPr id="86026" name="left_arrow_1_38">
          <a:hlinkClick xmlns:r="http://schemas.openxmlformats.org/officeDocument/2006/relationships" r:id="rId3"/>
          <a:extLst>
            <a:ext uri="{FF2B5EF4-FFF2-40B4-BE49-F238E27FC236}">
              <a16:creationId xmlns:a16="http://schemas.microsoft.com/office/drawing/2014/main" id="{00000000-0008-0000-3200-00000A500100}"/>
            </a:ext>
          </a:extLst>
        </xdr:cNvPr>
        <xdr:cNvSpPr>
          <a:spLocks noChangeArrowheads="1"/>
        </xdr:cNvSpPr>
      </xdr:nvSpPr>
      <xdr:spPr bwMode="auto">
        <a:xfrm rot="10800000">
          <a:off x="158750" y="107950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86027" name="right_arrow_38">
          <a:hlinkClick xmlns:r="http://schemas.openxmlformats.org/officeDocument/2006/relationships" r:id="rId4"/>
          <a:extLst>
            <a:ext uri="{FF2B5EF4-FFF2-40B4-BE49-F238E27FC236}">
              <a16:creationId xmlns:a16="http://schemas.microsoft.com/office/drawing/2014/main" id="{00000000-0008-0000-3200-00000B50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66</xdr:row>
      <xdr:rowOff>101600</xdr:rowOff>
    </xdr:from>
    <xdr:to>
      <xdr:col>15</xdr:col>
      <xdr:colOff>31750</xdr:colOff>
      <xdr:row>68</xdr:row>
      <xdr:rowOff>6350</xdr:rowOff>
    </xdr:to>
    <xdr:sp macro="" textlink="">
      <xdr:nvSpPr>
        <xdr:cNvPr id="86028" name="right_arrow_1_38">
          <a:hlinkClick xmlns:r="http://schemas.openxmlformats.org/officeDocument/2006/relationships" r:id="rId4"/>
          <a:extLst>
            <a:ext uri="{FF2B5EF4-FFF2-40B4-BE49-F238E27FC236}">
              <a16:creationId xmlns:a16="http://schemas.microsoft.com/office/drawing/2014/main" id="{00000000-0008-0000-3200-00000C500100}"/>
            </a:ext>
          </a:extLst>
        </xdr:cNvPr>
        <xdr:cNvSpPr>
          <a:spLocks noChangeArrowheads="1"/>
        </xdr:cNvSpPr>
      </xdr:nvSpPr>
      <xdr:spPr bwMode="auto">
        <a:xfrm>
          <a:off x="7886700" y="107950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127000</xdr:colOff>
      <xdr:row>18</xdr:row>
      <xdr:rowOff>95250</xdr:rowOff>
    </xdr:from>
    <xdr:to>
      <xdr:col>16</xdr:col>
      <xdr:colOff>38100</xdr:colOff>
      <xdr:row>42</xdr:row>
      <xdr:rowOff>0</xdr:rowOff>
    </xdr:to>
    <xdr:graphicFrame macro="">
      <xdr:nvGraphicFramePr>
        <xdr:cNvPr id="9218" name="Chart 1026">
          <a:extLst>
            <a:ext uri="{FF2B5EF4-FFF2-40B4-BE49-F238E27FC236}">
              <a16:creationId xmlns:a16="http://schemas.microsoft.com/office/drawing/2014/main" id="{00000000-0008-0000-0300-000002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12</xdr:col>
          <xdr:colOff>12700</xdr:colOff>
          <xdr:row>16</xdr:row>
          <xdr:rowOff>133350</xdr:rowOff>
        </xdr:from>
        <xdr:to>
          <xdr:col>12</xdr:col>
          <xdr:colOff>330200</xdr:colOff>
          <xdr:row>18</xdr:row>
          <xdr:rowOff>25400</xdr:rowOff>
        </xdr:to>
        <xdr:sp macro="" textlink="">
          <xdr:nvSpPr>
            <xdr:cNvPr id="9219" name="Check Box 1027"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9</xdr:col>
      <xdr:colOff>717550</xdr:colOff>
      <xdr:row>0</xdr:row>
      <xdr:rowOff>25400</xdr:rowOff>
    </xdr:from>
    <xdr:to>
      <xdr:col>10</xdr:col>
      <xdr:colOff>330200</xdr:colOff>
      <xdr:row>1</xdr:row>
      <xdr:rowOff>76200</xdr:rowOff>
    </xdr:to>
    <xdr:pic>
      <xdr:nvPicPr>
        <xdr:cNvPr id="9516" name="hyper_index_4">
          <a:hlinkClick xmlns:r="http://schemas.openxmlformats.org/officeDocument/2006/relationships" r:id="rId2"/>
          <a:extLst>
            <a:ext uri="{FF2B5EF4-FFF2-40B4-BE49-F238E27FC236}">
              <a16:creationId xmlns:a16="http://schemas.microsoft.com/office/drawing/2014/main" id="{00000000-0008-0000-0300-00002C2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78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3</xdr:col>
      <xdr:colOff>0</xdr:colOff>
      <xdr:row>1</xdr:row>
      <xdr:rowOff>114300</xdr:rowOff>
    </xdr:to>
    <xdr:sp macro="" textlink="">
      <xdr:nvSpPr>
        <xdr:cNvPr id="9517" name="left_arrow_4">
          <a:hlinkClick xmlns:r="http://schemas.openxmlformats.org/officeDocument/2006/relationships" r:id="rId4"/>
          <a:extLst>
            <a:ext uri="{FF2B5EF4-FFF2-40B4-BE49-F238E27FC236}">
              <a16:creationId xmlns:a16="http://schemas.microsoft.com/office/drawing/2014/main" id="{00000000-0008-0000-0300-00002D25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44</xdr:row>
      <xdr:rowOff>101600</xdr:rowOff>
    </xdr:from>
    <xdr:to>
      <xdr:col>3</xdr:col>
      <xdr:colOff>0</xdr:colOff>
      <xdr:row>46</xdr:row>
      <xdr:rowOff>6350</xdr:rowOff>
    </xdr:to>
    <xdr:sp macro="" textlink="">
      <xdr:nvSpPr>
        <xdr:cNvPr id="9518" name="left_arrow_1_4">
          <a:hlinkClick xmlns:r="http://schemas.openxmlformats.org/officeDocument/2006/relationships" r:id="rId4"/>
          <a:extLst>
            <a:ext uri="{FF2B5EF4-FFF2-40B4-BE49-F238E27FC236}">
              <a16:creationId xmlns:a16="http://schemas.microsoft.com/office/drawing/2014/main" id="{00000000-0008-0000-0300-00002E250000}"/>
            </a:ext>
          </a:extLst>
        </xdr:cNvPr>
        <xdr:cNvSpPr>
          <a:spLocks noChangeArrowheads="1"/>
        </xdr:cNvSpPr>
      </xdr:nvSpPr>
      <xdr:spPr bwMode="auto">
        <a:xfrm rot="10800000">
          <a:off x="158750" y="7124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488950</xdr:colOff>
      <xdr:row>0</xdr:row>
      <xdr:rowOff>44450</xdr:rowOff>
    </xdr:from>
    <xdr:to>
      <xdr:col>16</xdr:col>
      <xdr:colOff>31750</xdr:colOff>
      <xdr:row>1</xdr:row>
      <xdr:rowOff>114300</xdr:rowOff>
    </xdr:to>
    <xdr:sp macro="" textlink="">
      <xdr:nvSpPr>
        <xdr:cNvPr id="9519" name="right_arrow_4">
          <a:hlinkClick xmlns:r="http://schemas.openxmlformats.org/officeDocument/2006/relationships" r:id="rId5"/>
          <a:extLst>
            <a:ext uri="{FF2B5EF4-FFF2-40B4-BE49-F238E27FC236}">
              <a16:creationId xmlns:a16="http://schemas.microsoft.com/office/drawing/2014/main" id="{00000000-0008-0000-0300-00002F250000}"/>
            </a:ext>
          </a:extLst>
        </xdr:cNvPr>
        <xdr:cNvSpPr>
          <a:spLocks noChangeArrowheads="1"/>
        </xdr:cNvSpPr>
      </xdr:nvSpPr>
      <xdr:spPr bwMode="auto">
        <a:xfrm>
          <a:off x="82550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488950</xdr:colOff>
      <xdr:row>44</xdr:row>
      <xdr:rowOff>101600</xdr:rowOff>
    </xdr:from>
    <xdr:to>
      <xdr:col>16</xdr:col>
      <xdr:colOff>31750</xdr:colOff>
      <xdr:row>46</xdr:row>
      <xdr:rowOff>6350</xdr:rowOff>
    </xdr:to>
    <xdr:sp macro="" textlink="">
      <xdr:nvSpPr>
        <xdr:cNvPr id="9520" name="right_arrow_1_4">
          <a:hlinkClick xmlns:r="http://schemas.openxmlformats.org/officeDocument/2006/relationships" r:id="rId5"/>
          <a:extLst>
            <a:ext uri="{FF2B5EF4-FFF2-40B4-BE49-F238E27FC236}">
              <a16:creationId xmlns:a16="http://schemas.microsoft.com/office/drawing/2014/main" id="{00000000-0008-0000-0300-000030250000}"/>
            </a:ext>
          </a:extLst>
        </xdr:cNvPr>
        <xdr:cNvSpPr>
          <a:spLocks noChangeArrowheads="1"/>
        </xdr:cNvSpPr>
      </xdr:nvSpPr>
      <xdr:spPr bwMode="auto">
        <a:xfrm>
          <a:off x="8255000" y="7124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7077" name="hyper_index_39">
          <a:hlinkClick xmlns:r="http://schemas.openxmlformats.org/officeDocument/2006/relationships" r:id="rId1"/>
          <a:extLst>
            <a:ext uri="{FF2B5EF4-FFF2-40B4-BE49-F238E27FC236}">
              <a16:creationId xmlns:a16="http://schemas.microsoft.com/office/drawing/2014/main" id="{00000000-0008-0000-3300-0000255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87078" name="left_arrow_39">
          <a:hlinkClick xmlns:r="http://schemas.openxmlformats.org/officeDocument/2006/relationships" r:id="rId3"/>
          <a:extLst>
            <a:ext uri="{FF2B5EF4-FFF2-40B4-BE49-F238E27FC236}">
              <a16:creationId xmlns:a16="http://schemas.microsoft.com/office/drawing/2014/main" id="{00000000-0008-0000-3300-0000265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51</xdr:row>
      <xdr:rowOff>101600</xdr:rowOff>
    </xdr:from>
    <xdr:to>
      <xdr:col>2</xdr:col>
      <xdr:colOff>241300</xdr:colOff>
      <xdr:row>53</xdr:row>
      <xdr:rowOff>6350</xdr:rowOff>
    </xdr:to>
    <xdr:sp macro="" textlink="">
      <xdr:nvSpPr>
        <xdr:cNvPr id="87079" name="left_arrow_1_39">
          <a:hlinkClick xmlns:r="http://schemas.openxmlformats.org/officeDocument/2006/relationships" r:id="rId3"/>
          <a:extLst>
            <a:ext uri="{FF2B5EF4-FFF2-40B4-BE49-F238E27FC236}">
              <a16:creationId xmlns:a16="http://schemas.microsoft.com/office/drawing/2014/main" id="{00000000-0008-0000-3300-000027540100}"/>
            </a:ext>
          </a:extLst>
        </xdr:cNvPr>
        <xdr:cNvSpPr>
          <a:spLocks noChangeArrowheads="1"/>
        </xdr:cNvSpPr>
      </xdr:nvSpPr>
      <xdr:spPr bwMode="auto">
        <a:xfrm rot="10800000">
          <a:off x="158750" y="82042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87080" name="right_arrow_39">
          <a:hlinkClick xmlns:r="http://schemas.openxmlformats.org/officeDocument/2006/relationships" r:id="rId4"/>
          <a:extLst>
            <a:ext uri="{FF2B5EF4-FFF2-40B4-BE49-F238E27FC236}">
              <a16:creationId xmlns:a16="http://schemas.microsoft.com/office/drawing/2014/main" id="{00000000-0008-0000-3300-00002854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51</xdr:row>
      <xdr:rowOff>101600</xdr:rowOff>
    </xdr:from>
    <xdr:to>
      <xdr:col>15</xdr:col>
      <xdr:colOff>31750</xdr:colOff>
      <xdr:row>53</xdr:row>
      <xdr:rowOff>6350</xdr:rowOff>
    </xdr:to>
    <xdr:sp macro="" textlink="">
      <xdr:nvSpPr>
        <xdr:cNvPr id="87081" name="right_arrow_1_39">
          <a:hlinkClick xmlns:r="http://schemas.openxmlformats.org/officeDocument/2006/relationships" r:id="rId4"/>
          <a:extLst>
            <a:ext uri="{FF2B5EF4-FFF2-40B4-BE49-F238E27FC236}">
              <a16:creationId xmlns:a16="http://schemas.microsoft.com/office/drawing/2014/main" id="{00000000-0008-0000-3300-000029540100}"/>
            </a:ext>
          </a:extLst>
        </xdr:cNvPr>
        <xdr:cNvSpPr>
          <a:spLocks noChangeArrowheads="1"/>
        </xdr:cNvSpPr>
      </xdr:nvSpPr>
      <xdr:spPr bwMode="auto">
        <a:xfrm>
          <a:off x="8286750" y="82042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91148" name="hyper_index_40">
          <a:hlinkClick xmlns:r="http://schemas.openxmlformats.org/officeDocument/2006/relationships" r:id="rId1"/>
          <a:extLst>
            <a:ext uri="{FF2B5EF4-FFF2-40B4-BE49-F238E27FC236}">
              <a16:creationId xmlns:a16="http://schemas.microsoft.com/office/drawing/2014/main" id="{00000000-0008-0000-3400-00000C6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1149" name="left_arrow_40">
          <a:hlinkClick xmlns:r="http://schemas.openxmlformats.org/officeDocument/2006/relationships" r:id="rId3"/>
          <a:extLst>
            <a:ext uri="{FF2B5EF4-FFF2-40B4-BE49-F238E27FC236}">
              <a16:creationId xmlns:a16="http://schemas.microsoft.com/office/drawing/2014/main" id="{00000000-0008-0000-3400-00000D6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82</xdr:row>
      <xdr:rowOff>101600</xdr:rowOff>
    </xdr:from>
    <xdr:to>
      <xdr:col>2</xdr:col>
      <xdr:colOff>241300</xdr:colOff>
      <xdr:row>84</xdr:row>
      <xdr:rowOff>6350</xdr:rowOff>
    </xdr:to>
    <xdr:sp macro="" textlink="">
      <xdr:nvSpPr>
        <xdr:cNvPr id="91150" name="left_arrow_1_40">
          <a:hlinkClick xmlns:r="http://schemas.openxmlformats.org/officeDocument/2006/relationships" r:id="rId3"/>
          <a:extLst>
            <a:ext uri="{FF2B5EF4-FFF2-40B4-BE49-F238E27FC236}">
              <a16:creationId xmlns:a16="http://schemas.microsoft.com/office/drawing/2014/main" id="{00000000-0008-0000-3400-00000E640100}"/>
            </a:ext>
          </a:extLst>
        </xdr:cNvPr>
        <xdr:cNvSpPr>
          <a:spLocks noChangeArrowheads="1"/>
        </xdr:cNvSpPr>
      </xdr:nvSpPr>
      <xdr:spPr bwMode="auto">
        <a:xfrm rot="10800000">
          <a:off x="158750" y="13341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91151" name="right_arrow_40">
          <a:hlinkClick xmlns:r="http://schemas.openxmlformats.org/officeDocument/2006/relationships" r:id="rId4"/>
          <a:extLst>
            <a:ext uri="{FF2B5EF4-FFF2-40B4-BE49-F238E27FC236}">
              <a16:creationId xmlns:a16="http://schemas.microsoft.com/office/drawing/2014/main" id="{00000000-0008-0000-3400-00000F64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82</xdr:row>
      <xdr:rowOff>101600</xdr:rowOff>
    </xdr:from>
    <xdr:to>
      <xdr:col>15</xdr:col>
      <xdr:colOff>31750</xdr:colOff>
      <xdr:row>84</xdr:row>
      <xdr:rowOff>6350</xdr:rowOff>
    </xdr:to>
    <xdr:sp macro="" textlink="">
      <xdr:nvSpPr>
        <xdr:cNvPr id="91152" name="right_arrow_1_40">
          <a:hlinkClick xmlns:r="http://schemas.openxmlformats.org/officeDocument/2006/relationships" r:id="rId4"/>
          <a:extLst>
            <a:ext uri="{FF2B5EF4-FFF2-40B4-BE49-F238E27FC236}">
              <a16:creationId xmlns:a16="http://schemas.microsoft.com/office/drawing/2014/main" id="{00000000-0008-0000-3400-000010640100}"/>
            </a:ext>
          </a:extLst>
        </xdr:cNvPr>
        <xdr:cNvSpPr>
          <a:spLocks noChangeArrowheads="1"/>
        </xdr:cNvSpPr>
      </xdr:nvSpPr>
      <xdr:spPr bwMode="auto">
        <a:xfrm>
          <a:off x="8286750" y="133413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93196" name="hyper_index_41">
          <a:hlinkClick xmlns:r="http://schemas.openxmlformats.org/officeDocument/2006/relationships" r:id="rId1"/>
          <a:extLst>
            <a:ext uri="{FF2B5EF4-FFF2-40B4-BE49-F238E27FC236}">
              <a16:creationId xmlns:a16="http://schemas.microsoft.com/office/drawing/2014/main" id="{00000000-0008-0000-3500-00000C6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3197" name="left_arrow_41">
          <a:hlinkClick xmlns:r="http://schemas.openxmlformats.org/officeDocument/2006/relationships" r:id="rId3"/>
          <a:extLst>
            <a:ext uri="{FF2B5EF4-FFF2-40B4-BE49-F238E27FC236}">
              <a16:creationId xmlns:a16="http://schemas.microsoft.com/office/drawing/2014/main" id="{00000000-0008-0000-3500-00000D6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69</xdr:row>
      <xdr:rowOff>101600</xdr:rowOff>
    </xdr:from>
    <xdr:to>
      <xdr:col>2</xdr:col>
      <xdr:colOff>241300</xdr:colOff>
      <xdr:row>71</xdr:row>
      <xdr:rowOff>6350</xdr:rowOff>
    </xdr:to>
    <xdr:sp macro="" textlink="">
      <xdr:nvSpPr>
        <xdr:cNvPr id="93198" name="left_arrow_1_41">
          <a:hlinkClick xmlns:r="http://schemas.openxmlformats.org/officeDocument/2006/relationships" r:id="rId3"/>
          <a:extLst>
            <a:ext uri="{FF2B5EF4-FFF2-40B4-BE49-F238E27FC236}">
              <a16:creationId xmlns:a16="http://schemas.microsoft.com/office/drawing/2014/main" id="{00000000-0008-0000-3500-00000E6C0100}"/>
            </a:ext>
          </a:extLst>
        </xdr:cNvPr>
        <xdr:cNvSpPr>
          <a:spLocks noChangeArrowheads="1"/>
        </xdr:cNvSpPr>
      </xdr:nvSpPr>
      <xdr:spPr bwMode="auto">
        <a:xfrm rot="10800000">
          <a:off x="158750" y="11245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93199" name="right_arrow_41">
          <a:hlinkClick xmlns:r="http://schemas.openxmlformats.org/officeDocument/2006/relationships" r:id="rId4"/>
          <a:extLst>
            <a:ext uri="{FF2B5EF4-FFF2-40B4-BE49-F238E27FC236}">
              <a16:creationId xmlns:a16="http://schemas.microsoft.com/office/drawing/2014/main" id="{00000000-0008-0000-3500-00000F6C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69</xdr:row>
      <xdr:rowOff>101600</xdr:rowOff>
    </xdr:from>
    <xdr:to>
      <xdr:col>15</xdr:col>
      <xdr:colOff>31750</xdr:colOff>
      <xdr:row>71</xdr:row>
      <xdr:rowOff>6350</xdr:rowOff>
    </xdr:to>
    <xdr:sp macro="" textlink="">
      <xdr:nvSpPr>
        <xdr:cNvPr id="93200" name="right_arrow_1_41">
          <a:hlinkClick xmlns:r="http://schemas.openxmlformats.org/officeDocument/2006/relationships" r:id="rId4"/>
          <a:extLst>
            <a:ext uri="{FF2B5EF4-FFF2-40B4-BE49-F238E27FC236}">
              <a16:creationId xmlns:a16="http://schemas.microsoft.com/office/drawing/2014/main" id="{00000000-0008-0000-3500-0000106C0100}"/>
            </a:ext>
          </a:extLst>
        </xdr:cNvPr>
        <xdr:cNvSpPr>
          <a:spLocks noChangeArrowheads="1"/>
        </xdr:cNvSpPr>
      </xdr:nvSpPr>
      <xdr:spPr bwMode="auto">
        <a:xfrm>
          <a:off x="8286750" y="112458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68623" name="hyper_index_42">
          <a:hlinkClick xmlns:r="http://schemas.openxmlformats.org/officeDocument/2006/relationships" r:id="rId1"/>
          <a:extLst>
            <a:ext uri="{FF2B5EF4-FFF2-40B4-BE49-F238E27FC236}">
              <a16:creationId xmlns:a16="http://schemas.microsoft.com/office/drawing/2014/main" id="{00000000-0008-0000-3600-00000F0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68624" name="left_arrow_42">
          <a:hlinkClick xmlns:r="http://schemas.openxmlformats.org/officeDocument/2006/relationships" r:id="rId3"/>
          <a:extLst>
            <a:ext uri="{FF2B5EF4-FFF2-40B4-BE49-F238E27FC236}">
              <a16:creationId xmlns:a16="http://schemas.microsoft.com/office/drawing/2014/main" id="{00000000-0008-0000-3600-0000100C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92</xdr:row>
      <xdr:rowOff>101600</xdr:rowOff>
    </xdr:from>
    <xdr:to>
      <xdr:col>2</xdr:col>
      <xdr:colOff>241300</xdr:colOff>
      <xdr:row>94</xdr:row>
      <xdr:rowOff>6350</xdr:rowOff>
    </xdr:to>
    <xdr:sp macro="" textlink="">
      <xdr:nvSpPr>
        <xdr:cNvPr id="68625" name="left_arrow_1_42">
          <a:hlinkClick xmlns:r="http://schemas.openxmlformats.org/officeDocument/2006/relationships" r:id="rId3"/>
          <a:extLst>
            <a:ext uri="{FF2B5EF4-FFF2-40B4-BE49-F238E27FC236}">
              <a16:creationId xmlns:a16="http://schemas.microsoft.com/office/drawing/2014/main" id="{00000000-0008-0000-3600-0000110C0100}"/>
            </a:ext>
          </a:extLst>
        </xdr:cNvPr>
        <xdr:cNvSpPr>
          <a:spLocks noChangeArrowheads="1"/>
        </xdr:cNvSpPr>
      </xdr:nvSpPr>
      <xdr:spPr bwMode="auto">
        <a:xfrm rot="10800000">
          <a:off x="158750" y="9810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68626" name="right_arrow_42">
          <a:hlinkClick xmlns:r="http://schemas.openxmlformats.org/officeDocument/2006/relationships" r:id="rId4"/>
          <a:extLst>
            <a:ext uri="{FF2B5EF4-FFF2-40B4-BE49-F238E27FC236}">
              <a16:creationId xmlns:a16="http://schemas.microsoft.com/office/drawing/2014/main" id="{00000000-0008-0000-3600-0000120C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92</xdr:row>
      <xdr:rowOff>101600</xdr:rowOff>
    </xdr:from>
    <xdr:to>
      <xdr:col>15</xdr:col>
      <xdr:colOff>31750</xdr:colOff>
      <xdr:row>94</xdr:row>
      <xdr:rowOff>6350</xdr:rowOff>
    </xdr:to>
    <xdr:sp macro="" textlink="">
      <xdr:nvSpPr>
        <xdr:cNvPr id="68627" name="right_arrow_1_42">
          <a:hlinkClick xmlns:r="http://schemas.openxmlformats.org/officeDocument/2006/relationships" r:id="rId4"/>
          <a:extLst>
            <a:ext uri="{FF2B5EF4-FFF2-40B4-BE49-F238E27FC236}">
              <a16:creationId xmlns:a16="http://schemas.microsoft.com/office/drawing/2014/main" id="{00000000-0008-0000-3600-0000130C0100}"/>
            </a:ext>
          </a:extLst>
        </xdr:cNvPr>
        <xdr:cNvSpPr>
          <a:spLocks noChangeArrowheads="1"/>
        </xdr:cNvSpPr>
      </xdr:nvSpPr>
      <xdr:spPr bwMode="auto">
        <a:xfrm>
          <a:off x="8286750" y="9810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2952" name="hyper_index_43">
          <a:hlinkClick xmlns:r="http://schemas.openxmlformats.org/officeDocument/2006/relationships" r:id="rId1"/>
          <a:extLst>
            <a:ext uri="{FF2B5EF4-FFF2-40B4-BE49-F238E27FC236}">
              <a16:creationId xmlns:a16="http://schemas.microsoft.com/office/drawing/2014/main" id="{00000000-0008-0000-3700-0000084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82953" name="left_arrow_43">
          <a:hlinkClick xmlns:r="http://schemas.openxmlformats.org/officeDocument/2006/relationships" r:id="rId3"/>
          <a:extLst>
            <a:ext uri="{FF2B5EF4-FFF2-40B4-BE49-F238E27FC236}">
              <a16:creationId xmlns:a16="http://schemas.microsoft.com/office/drawing/2014/main" id="{00000000-0008-0000-3700-00000944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81</xdr:row>
      <xdr:rowOff>101600</xdr:rowOff>
    </xdr:from>
    <xdr:to>
      <xdr:col>2</xdr:col>
      <xdr:colOff>228600</xdr:colOff>
      <xdr:row>83</xdr:row>
      <xdr:rowOff>6350</xdr:rowOff>
    </xdr:to>
    <xdr:sp macro="" textlink="">
      <xdr:nvSpPr>
        <xdr:cNvPr id="82954" name="left_arrow_1_43">
          <a:hlinkClick xmlns:r="http://schemas.openxmlformats.org/officeDocument/2006/relationships" r:id="rId3"/>
          <a:extLst>
            <a:ext uri="{FF2B5EF4-FFF2-40B4-BE49-F238E27FC236}">
              <a16:creationId xmlns:a16="http://schemas.microsoft.com/office/drawing/2014/main" id="{00000000-0008-0000-3700-00000A440100}"/>
            </a:ext>
          </a:extLst>
        </xdr:cNvPr>
        <xdr:cNvSpPr>
          <a:spLocks noChangeArrowheads="1"/>
        </xdr:cNvSpPr>
      </xdr:nvSpPr>
      <xdr:spPr bwMode="auto">
        <a:xfrm rot="10800000">
          <a:off x="158750" y="56388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82955" name="right_arrow_43">
          <a:hlinkClick xmlns:r="http://schemas.openxmlformats.org/officeDocument/2006/relationships" r:id="rId4"/>
          <a:extLst>
            <a:ext uri="{FF2B5EF4-FFF2-40B4-BE49-F238E27FC236}">
              <a16:creationId xmlns:a16="http://schemas.microsoft.com/office/drawing/2014/main" id="{00000000-0008-0000-3700-00000B44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81</xdr:row>
      <xdr:rowOff>101600</xdr:rowOff>
    </xdr:from>
    <xdr:to>
      <xdr:col>15</xdr:col>
      <xdr:colOff>31750</xdr:colOff>
      <xdr:row>83</xdr:row>
      <xdr:rowOff>6350</xdr:rowOff>
    </xdr:to>
    <xdr:sp macro="" textlink="">
      <xdr:nvSpPr>
        <xdr:cNvPr id="82956" name="right_arrow_1_43">
          <a:hlinkClick xmlns:r="http://schemas.openxmlformats.org/officeDocument/2006/relationships" r:id="rId4"/>
          <a:extLst>
            <a:ext uri="{FF2B5EF4-FFF2-40B4-BE49-F238E27FC236}">
              <a16:creationId xmlns:a16="http://schemas.microsoft.com/office/drawing/2014/main" id="{00000000-0008-0000-3700-00000C440100}"/>
            </a:ext>
          </a:extLst>
        </xdr:cNvPr>
        <xdr:cNvSpPr>
          <a:spLocks noChangeArrowheads="1"/>
        </xdr:cNvSpPr>
      </xdr:nvSpPr>
      <xdr:spPr bwMode="auto">
        <a:xfrm>
          <a:off x="7886700" y="56388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95238" name="hyper_index_44">
          <a:hlinkClick xmlns:r="http://schemas.openxmlformats.org/officeDocument/2006/relationships" r:id="rId1"/>
          <a:extLst>
            <a:ext uri="{FF2B5EF4-FFF2-40B4-BE49-F238E27FC236}">
              <a16:creationId xmlns:a16="http://schemas.microsoft.com/office/drawing/2014/main" id="{00000000-0008-0000-3800-0000067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95239" name="left_arrow_44">
          <a:hlinkClick xmlns:r="http://schemas.openxmlformats.org/officeDocument/2006/relationships" r:id="rId3"/>
          <a:extLst>
            <a:ext uri="{FF2B5EF4-FFF2-40B4-BE49-F238E27FC236}">
              <a16:creationId xmlns:a16="http://schemas.microsoft.com/office/drawing/2014/main" id="{00000000-0008-0000-3800-00000774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110</xdr:row>
      <xdr:rowOff>95250</xdr:rowOff>
    </xdr:from>
    <xdr:to>
      <xdr:col>2</xdr:col>
      <xdr:colOff>241300</xdr:colOff>
      <xdr:row>112</xdr:row>
      <xdr:rowOff>0</xdr:rowOff>
    </xdr:to>
    <xdr:sp macro="" textlink="">
      <xdr:nvSpPr>
        <xdr:cNvPr id="95240" name="left_arrow_1_44">
          <a:hlinkClick xmlns:r="http://schemas.openxmlformats.org/officeDocument/2006/relationships" r:id="rId3"/>
          <a:extLst>
            <a:ext uri="{FF2B5EF4-FFF2-40B4-BE49-F238E27FC236}">
              <a16:creationId xmlns:a16="http://schemas.microsoft.com/office/drawing/2014/main" id="{00000000-0008-0000-3800-000008740100}"/>
            </a:ext>
          </a:extLst>
        </xdr:cNvPr>
        <xdr:cNvSpPr>
          <a:spLocks noChangeArrowheads="1"/>
        </xdr:cNvSpPr>
      </xdr:nvSpPr>
      <xdr:spPr bwMode="auto">
        <a:xfrm rot="10800000">
          <a:off x="158750" y="8267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95241" name="right_arrow_44">
          <a:hlinkClick xmlns:r="http://schemas.openxmlformats.org/officeDocument/2006/relationships" r:id="rId4"/>
          <a:extLst>
            <a:ext uri="{FF2B5EF4-FFF2-40B4-BE49-F238E27FC236}">
              <a16:creationId xmlns:a16="http://schemas.microsoft.com/office/drawing/2014/main" id="{00000000-0008-0000-3800-00000974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110</xdr:row>
      <xdr:rowOff>95250</xdr:rowOff>
    </xdr:from>
    <xdr:to>
      <xdr:col>15</xdr:col>
      <xdr:colOff>31750</xdr:colOff>
      <xdr:row>112</xdr:row>
      <xdr:rowOff>0</xdr:rowOff>
    </xdr:to>
    <xdr:sp macro="" textlink="">
      <xdr:nvSpPr>
        <xdr:cNvPr id="95242" name="right_arrow_1_44">
          <a:hlinkClick xmlns:r="http://schemas.openxmlformats.org/officeDocument/2006/relationships" r:id="rId4"/>
          <a:extLst>
            <a:ext uri="{FF2B5EF4-FFF2-40B4-BE49-F238E27FC236}">
              <a16:creationId xmlns:a16="http://schemas.microsoft.com/office/drawing/2014/main" id="{00000000-0008-0000-3800-00000A740100}"/>
            </a:ext>
          </a:extLst>
        </xdr:cNvPr>
        <xdr:cNvSpPr>
          <a:spLocks noChangeArrowheads="1"/>
        </xdr:cNvSpPr>
      </xdr:nvSpPr>
      <xdr:spPr bwMode="auto">
        <a:xfrm>
          <a:off x="8286750" y="8267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6.xml><?xml version="1.0" encoding="utf-8"?>
<xdr:wsDr xmlns:xdr="http://schemas.openxmlformats.org/drawingml/2006/spreadsheetDrawing" xmlns:a="http://schemas.openxmlformats.org/drawingml/2006/main">
  <xdr:twoCellAnchor>
    <xdr:from>
      <xdr:col>2</xdr:col>
      <xdr:colOff>38100</xdr:colOff>
      <xdr:row>7</xdr:row>
      <xdr:rowOff>44450</xdr:rowOff>
    </xdr:from>
    <xdr:to>
      <xdr:col>11</xdr:col>
      <xdr:colOff>120650</xdr:colOff>
      <xdr:row>23</xdr:row>
      <xdr:rowOff>120650</xdr:rowOff>
    </xdr:to>
    <xdr:graphicFrame macro="">
      <xdr:nvGraphicFramePr>
        <xdr:cNvPr id="69633" name="Chart 1">
          <a:extLst>
            <a:ext uri="{FF2B5EF4-FFF2-40B4-BE49-F238E27FC236}">
              <a16:creationId xmlns:a16="http://schemas.microsoft.com/office/drawing/2014/main" id="{00000000-0008-0000-3900-0000011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19050</xdr:colOff>
      <xdr:row>0</xdr:row>
      <xdr:rowOff>25400</xdr:rowOff>
    </xdr:from>
    <xdr:to>
      <xdr:col>9</xdr:col>
      <xdr:colOff>88900</xdr:colOff>
      <xdr:row>1</xdr:row>
      <xdr:rowOff>76200</xdr:rowOff>
    </xdr:to>
    <xdr:pic>
      <xdr:nvPicPr>
        <xdr:cNvPr id="69634" name="hyper_index_45">
          <a:hlinkClick xmlns:r="http://schemas.openxmlformats.org/officeDocument/2006/relationships" r:id="rId2"/>
          <a:extLst>
            <a:ext uri="{FF2B5EF4-FFF2-40B4-BE49-F238E27FC236}">
              <a16:creationId xmlns:a16="http://schemas.microsoft.com/office/drawing/2014/main" id="{00000000-0008-0000-3900-00000210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69635" name="left_arrow_45">
          <a:hlinkClick xmlns:r="http://schemas.openxmlformats.org/officeDocument/2006/relationships" r:id="rId4"/>
          <a:extLst>
            <a:ext uri="{FF2B5EF4-FFF2-40B4-BE49-F238E27FC236}">
              <a16:creationId xmlns:a16="http://schemas.microsoft.com/office/drawing/2014/main" id="{00000000-0008-0000-3900-0000031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68</xdr:row>
      <xdr:rowOff>101600</xdr:rowOff>
    </xdr:from>
    <xdr:to>
      <xdr:col>2</xdr:col>
      <xdr:colOff>241300</xdr:colOff>
      <xdr:row>70</xdr:row>
      <xdr:rowOff>6350</xdr:rowOff>
    </xdr:to>
    <xdr:sp macro="" textlink="">
      <xdr:nvSpPr>
        <xdr:cNvPr id="69636" name="left_arrow_1_45">
          <a:hlinkClick xmlns:r="http://schemas.openxmlformats.org/officeDocument/2006/relationships" r:id="rId4"/>
          <a:extLst>
            <a:ext uri="{FF2B5EF4-FFF2-40B4-BE49-F238E27FC236}">
              <a16:creationId xmlns:a16="http://schemas.microsoft.com/office/drawing/2014/main" id="{00000000-0008-0000-3900-000004100100}"/>
            </a:ext>
          </a:extLst>
        </xdr:cNvPr>
        <xdr:cNvSpPr>
          <a:spLocks noChangeArrowheads="1"/>
        </xdr:cNvSpPr>
      </xdr:nvSpPr>
      <xdr:spPr bwMode="auto">
        <a:xfrm rot="10800000">
          <a:off x="158750" y="110172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69637" name="right_arrow_45">
          <a:hlinkClick xmlns:r="http://schemas.openxmlformats.org/officeDocument/2006/relationships" r:id="rId5"/>
          <a:extLst>
            <a:ext uri="{FF2B5EF4-FFF2-40B4-BE49-F238E27FC236}">
              <a16:creationId xmlns:a16="http://schemas.microsoft.com/office/drawing/2014/main" id="{00000000-0008-0000-3900-00000510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68</xdr:row>
      <xdr:rowOff>101600</xdr:rowOff>
    </xdr:from>
    <xdr:to>
      <xdr:col>15</xdr:col>
      <xdr:colOff>31750</xdr:colOff>
      <xdr:row>70</xdr:row>
      <xdr:rowOff>6350</xdr:rowOff>
    </xdr:to>
    <xdr:sp macro="" textlink="">
      <xdr:nvSpPr>
        <xdr:cNvPr id="69638" name="right_arrow_1_45">
          <a:hlinkClick xmlns:r="http://schemas.openxmlformats.org/officeDocument/2006/relationships" r:id="rId5"/>
          <a:extLst>
            <a:ext uri="{FF2B5EF4-FFF2-40B4-BE49-F238E27FC236}">
              <a16:creationId xmlns:a16="http://schemas.microsoft.com/office/drawing/2014/main" id="{00000000-0008-0000-3900-000006100100}"/>
            </a:ext>
          </a:extLst>
        </xdr:cNvPr>
        <xdr:cNvSpPr>
          <a:spLocks noChangeArrowheads="1"/>
        </xdr:cNvSpPr>
      </xdr:nvSpPr>
      <xdr:spPr bwMode="auto">
        <a:xfrm>
          <a:off x="8286750" y="110172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83979" name="hyper_index_46">
          <a:hlinkClick xmlns:r="http://schemas.openxmlformats.org/officeDocument/2006/relationships" r:id="rId1"/>
          <a:extLst>
            <a:ext uri="{FF2B5EF4-FFF2-40B4-BE49-F238E27FC236}">
              <a16:creationId xmlns:a16="http://schemas.microsoft.com/office/drawing/2014/main" id="{00000000-0008-0000-3A00-00000B4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83980" name="left_arrow_46">
          <a:hlinkClick xmlns:r="http://schemas.openxmlformats.org/officeDocument/2006/relationships" r:id="rId3"/>
          <a:extLst>
            <a:ext uri="{FF2B5EF4-FFF2-40B4-BE49-F238E27FC236}">
              <a16:creationId xmlns:a16="http://schemas.microsoft.com/office/drawing/2014/main" id="{00000000-0008-0000-3A00-00000C48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81</xdr:row>
      <xdr:rowOff>101600</xdr:rowOff>
    </xdr:from>
    <xdr:to>
      <xdr:col>2</xdr:col>
      <xdr:colOff>241300</xdr:colOff>
      <xdr:row>83</xdr:row>
      <xdr:rowOff>6350</xdr:rowOff>
    </xdr:to>
    <xdr:sp macro="" textlink="">
      <xdr:nvSpPr>
        <xdr:cNvPr id="83981" name="left_arrow_1_46">
          <a:hlinkClick xmlns:r="http://schemas.openxmlformats.org/officeDocument/2006/relationships" r:id="rId3"/>
          <a:extLst>
            <a:ext uri="{FF2B5EF4-FFF2-40B4-BE49-F238E27FC236}">
              <a16:creationId xmlns:a16="http://schemas.microsoft.com/office/drawing/2014/main" id="{00000000-0008-0000-3A00-00000D480100}"/>
            </a:ext>
          </a:extLst>
        </xdr:cNvPr>
        <xdr:cNvSpPr>
          <a:spLocks noChangeArrowheads="1"/>
        </xdr:cNvSpPr>
      </xdr:nvSpPr>
      <xdr:spPr bwMode="auto">
        <a:xfrm rot="10800000">
          <a:off x="158750" y="6889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0</xdr:row>
      <xdr:rowOff>44450</xdr:rowOff>
    </xdr:from>
    <xdr:to>
      <xdr:col>15</xdr:col>
      <xdr:colOff>31750</xdr:colOff>
      <xdr:row>1</xdr:row>
      <xdr:rowOff>114300</xdr:rowOff>
    </xdr:to>
    <xdr:sp macro="" textlink="">
      <xdr:nvSpPr>
        <xdr:cNvPr id="83982" name="right_arrow_46">
          <a:hlinkClick xmlns:r="http://schemas.openxmlformats.org/officeDocument/2006/relationships" r:id="rId4"/>
          <a:extLst>
            <a:ext uri="{FF2B5EF4-FFF2-40B4-BE49-F238E27FC236}">
              <a16:creationId xmlns:a16="http://schemas.microsoft.com/office/drawing/2014/main" id="{00000000-0008-0000-3A00-00000E4801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450850</xdr:colOff>
      <xdr:row>81</xdr:row>
      <xdr:rowOff>101600</xdr:rowOff>
    </xdr:from>
    <xdr:to>
      <xdr:col>15</xdr:col>
      <xdr:colOff>31750</xdr:colOff>
      <xdr:row>83</xdr:row>
      <xdr:rowOff>6350</xdr:rowOff>
    </xdr:to>
    <xdr:sp macro="" textlink="">
      <xdr:nvSpPr>
        <xdr:cNvPr id="83983" name="right_arrow_1_46">
          <a:hlinkClick xmlns:r="http://schemas.openxmlformats.org/officeDocument/2006/relationships" r:id="rId4"/>
          <a:extLst>
            <a:ext uri="{FF2B5EF4-FFF2-40B4-BE49-F238E27FC236}">
              <a16:creationId xmlns:a16="http://schemas.microsoft.com/office/drawing/2014/main" id="{00000000-0008-0000-3A00-00000F480100}"/>
            </a:ext>
          </a:extLst>
        </xdr:cNvPr>
        <xdr:cNvSpPr>
          <a:spLocks noChangeArrowheads="1"/>
        </xdr:cNvSpPr>
      </xdr:nvSpPr>
      <xdr:spPr bwMode="auto">
        <a:xfrm>
          <a:off x="8286750" y="6889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8</xdr:col>
      <xdr:colOff>19050</xdr:colOff>
      <xdr:row>0</xdr:row>
      <xdr:rowOff>25400</xdr:rowOff>
    </xdr:from>
    <xdr:to>
      <xdr:col>9</xdr:col>
      <xdr:colOff>88900</xdr:colOff>
      <xdr:row>1</xdr:row>
      <xdr:rowOff>76200</xdr:rowOff>
    </xdr:to>
    <xdr:pic>
      <xdr:nvPicPr>
        <xdr:cNvPr id="100353" name="hyper_index_47">
          <a:hlinkClick xmlns:r="http://schemas.openxmlformats.org/officeDocument/2006/relationships" r:id="rId1"/>
          <a:extLst>
            <a:ext uri="{FF2B5EF4-FFF2-40B4-BE49-F238E27FC236}">
              <a16:creationId xmlns:a16="http://schemas.microsoft.com/office/drawing/2014/main" id="{00000000-0008-0000-3B00-0000018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63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228600</xdr:colOff>
      <xdr:row>1</xdr:row>
      <xdr:rowOff>114300</xdr:rowOff>
    </xdr:to>
    <xdr:sp macro="" textlink="">
      <xdr:nvSpPr>
        <xdr:cNvPr id="100354" name="left_arrow_47">
          <a:hlinkClick xmlns:r="http://schemas.openxmlformats.org/officeDocument/2006/relationships" r:id="rId3"/>
          <a:extLst>
            <a:ext uri="{FF2B5EF4-FFF2-40B4-BE49-F238E27FC236}">
              <a16:creationId xmlns:a16="http://schemas.microsoft.com/office/drawing/2014/main" id="{00000000-0008-0000-3B00-000002880100}"/>
            </a:ext>
          </a:extLst>
        </xdr:cNvPr>
        <xdr:cNvSpPr>
          <a:spLocks noChangeArrowheads="1"/>
        </xdr:cNvSpPr>
      </xdr:nvSpPr>
      <xdr:spPr bwMode="auto">
        <a:xfrm rot="10800000">
          <a:off x="15875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17</xdr:row>
      <xdr:rowOff>101600</xdr:rowOff>
    </xdr:from>
    <xdr:to>
      <xdr:col>2</xdr:col>
      <xdr:colOff>228600</xdr:colOff>
      <xdr:row>19</xdr:row>
      <xdr:rowOff>6350</xdr:rowOff>
    </xdr:to>
    <xdr:sp macro="" textlink="">
      <xdr:nvSpPr>
        <xdr:cNvPr id="100355" name="left_arrow_1_47">
          <a:hlinkClick xmlns:r="http://schemas.openxmlformats.org/officeDocument/2006/relationships" r:id="rId3"/>
          <a:extLst>
            <a:ext uri="{FF2B5EF4-FFF2-40B4-BE49-F238E27FC236}">
              <a16:creationId xmlns:a16="http://schemas.microsoft.com/office/drawing/2014/main" id="{00000000-0008-0000-3B00-000003880100}"/>
            </a:ext>
          </a:extLst>
        </xdr:cNvPr>
        <xdr:cNvSpPr>
          <a:spLocks noChangeArrowheads="1"/>
        </xdr:cNvSpPr>
      </xdr:nvSpPr>
      <xdr:spPr bwMode="auto">
        <a:xfrm rot="10800000">
          <a:off x="158750" y="28702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0</xdr:row>
      <xdr:rowOff>44450</xdr:rowOff>
    </xdr:from>
    <xdr:to>
      <xdr:col>15</xdr:col>
      <xdr:colOff>31750</xdr:colOff>
      <xdr:row>1</xdr:row>
      <xdr:rowOff>114300</xdr:rowOff>
    </xdr:to>
    <xdr:sp macro="" textlink="">
      <xdr:nvSpPr>
        <xdr:cNvPr id="100356" name="right_arrow_47">
          <a:hlinkClick xmlns:r="http://schemas.openxmlformats.org/officeDocument/2006/relationships" r:id="rId4"/>
          <a:extLst>
            <a:ext uri="{FF2B5EF4-FFF2-40B4-BE49-F238E27FC236}">
              <a16:creationId xmlns:a16="http://schemas.microsoft.com/office/drawing/2014/main" id="{00000000-0008-0000-3B00-000004880100}"/>
            </a:ext>
          </a:extLst>
        </xdr:cNvPr>
        <xdr:cNvSpPr>
          <a:spLocks noChangeArrowheads="1"/>
        </xdr:cNvSpPr>
      </xdr:nvSpPr>
      <xdr:spPr bwMode="auto">
        <a:xfrm>
          <a:off x="7886700" y="4445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431800</xdr:colOff>
      <xdr:row>17</xdr:row>
      <xdr:rowOff>101600</xdr:rowOff>
    </xdr:from>
    <xdr:to>
      <xdr:col>15</xdr:col>
      <xdr:colOff>31750</xdr:colOff>
      <xdr:row>19</xdr:row>
      <xdr:rowOff>6350</xdr:rowOff>
    </xdr:to>
    <xdr:sp macro="" textlink="">
      <xdr:nvSpPr>
        <xdr:cNvPr id="100357" name="right_arrow_1_47">
          <a:hlinkClick xmlns:r="http://schemas.openxmlformats.org/officeDocument/2006/relationships" r:id="rId4"/>
          <a:extLst>
            <a:ext uri="{FF2B5EF4-FFF2-40B4-BE49-F238E27FC236}">
              <a16:creationId xmlns:a16="http://schemas.microsoft.com/office/drawing/2014/main" id="{00000000-0008-0000-3B00-000005880100}"/>
            </a:ext>
          </a:extLst>
        </xdr:cNvPr>
        <xdr:cNvSpPr>
          <a:spLocks noChangeArrowheads="1"/>
        </xdr:cNvSpPr>
      </xdr:nvSpPr>
      <xdr:spPr bwMode="auto">
        <a:xfrm>
          <a:off x="7886700" y="28702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9</xdr:col>
      <xdr:colOff>438150</xdr:colOff>
      <xdr:row>0</xdr:row>
      <xdr:rowOff>25400</xdr:rowOff>
    </xdr:from>
    <xdr:to>
      <xdr:col>10</xdr:col>
      <xdr:colOff>508000</xdr:colOff>
      <xdr:row>1</xdr:row>
      <xdr:rowOff>76200</xdr:rowOff>
    </xdr:to>
    <xdr:pic>
      <xdr:nvPicPr>
        <xdr:cNvPr id="102401" name="hyper_index_48">
          <a:hlinkClick xmlns:r="http://schemas.openxmlformats.org/officeDocument/2006/relationships" r:id="rId1"/>
          <a:extLst>
            <a:ext uri="{FF2B5EF4-FFF2-40B4-BE49-F238E27FC236}">
              <a16:creationId xmlns:a16="http://schemas.microsoft.com/office/drawing/2014/main" id="{00000000-0008-0000-3D00-0000019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9050" y="25400"/>
          <a:ext cx="6794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4</xdr:col>
      <xdr:colOff>38100</xdr:colOff>
      <xdr:row>1</xdr:row>
      <xdr:rowOff>114300</xdr:rowOff>
    </xdr:to>
    <xdr:sp macro="" textlink="">
      <xdr:nvSpPr>
        <xdr:cNvPr id="102402" name="left_arrow_48">
          <a:hlinkClick xmlns:r="http://schemas.openxmlformats.org/officeDocument/2006/relationships" r:id="rId3"/>
          <a:extLst>
            <a:ext uri="{FF2B5EF4-FFF2-40B4-BE49-F238E27FC236}">
              <a16:creationId xmlns:a16="http://schemas.microsoft.com/office/drawing/2014/main" id="{00000000-0008-0000-3D00-0000029001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21</xdr:row>
      <xdr:rowOff>101600</xdr:rowOff>
    </xdr:from>
    <xdr:to>
      <xdr:col>4</xdr:col>
      <xdr:colOff>38100</xdr:colOff>
      <xdr:row>23</xdr:row>
      <xdr:rowOff>6350</xdr:rowOff>
    </xdr:to>
    <xdr:sp macro="" textlink="">
      <xdr:nvSpPr>
        <xdr:cNvPr id="102403" name="left_arrow_1_48">
          <a:hlinkClick xmlns:r="http://schemas.openxmlformats.org/officeDocument/2006/relationships" r:id="rId3"/>
          <a:extLst>
            <a:ext uri="{FF2B5EF4-FFF2-40B4-BE49-F238E27FC236}">
              <a16:creationId xmlns:a16="http://schemas.microsoft.com/office/drawing/2014/main" id="{00000000-0008-0000-3D00-000003900100}"/>
            </a:ext>
          </a:extLst>
        </xdr:cNvPr>
        <xdr:cNvSpPr>
          <a:spLocks noChangeArrowheads="1"/>
        </xdr:cNvSpPr>
      </xdr:nvSpPr>
      <xdr:spPr bwMode="auto">
        <a:xfrm rot="10800000">
          <a:off x="158750" y="3841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255</xdr:col>
      <xdr:colOff>0</xdr:colOff>
      <xdr:row>0</xdr:row>
      <xdr:rowOff>44450</xdr:rowOff>
    </xdr:from>
    <xdr:to>
      <xdr:col>255</xdr:col>
      <xdr:colOff>0</xdr:colOff>
      <xdr:row>1</xdr:row>
      <xdr:rowOff>114300</xdr:rowOff>
    </xdr:to>
    <xdr:sp macro="" textlink="">
      <xdr:nvSpPr>
        <xdr:cNvPr id="102404" name="right_arrow_48">
          <a:hlinkClick xmlns:r="http://schemas.openxmlformats.org/officeDocument/2006/relationships" r:id="rId4"/>
          <a:extLst>
            <a:ext uri="{FF2B5EF4-FFF2-40B4-BE49-F238E27FC236}">
              <a16:creationId xmlns:a16="http://schemas.microsoft.com/office/drawing/2014/main" id="{00000000-0008-0000-3D00-000004900100}"/>
            </a:ext>
          </a:extLst>
        </xdr:cNvPr>
        <xdr:cNvSpPr>
          <a:spLocks noChangeArrowheads="1"/>
        </xdr:cNvSpPr>
      </xdr:nvSpPr>
      <xdr:spPr bwMode="auto">
        <a:xfrm>
          <a:off x="7785100" y="44450"/>
          <a:ext cx="0" cy="228600"/>
        </a:xfrm>
        <a:prstGeom prst="rightArrow">
          <a:avLst>
            <a:gd name="adj1" fmla="val 50000"/>
            <a:gd name="adj2" fmla="val -2147483648"/>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255</xdr:col>
      <xdr:colOff>0</xdr:colOff>
      <xdr:row>21</xdr:row>
      <xdr:rowOff>101600</xdr:rowOff>
    </xdr:from>
    <xdr:to>
      <xdr:col>255</xdr:col>
      <xdr:colOff>0</xdr:colOff>
      <xdr:row>23</xdr:row>
      <xdr:rowOff>6350</xdr:rowOff>
    </xdr:to>
    <xdr:sp macro="" textlink="">
      <xdr:nvSpPr>
        <xdr:cNvPr id="102405" name="right_arrow_1_48">
          <a:hlinkClick xmlns:r="http://schemas.openxmlformats.org/officeDocument/2006/relationships" r:id="rId4"/>
          <a:extLst>
            <a:ext uri="{FF2B5EF4-FFF2-40B4-BE49-F238E27FC236}">
              <a16:creationId xmlns:a16="http://schemas.microsoft.com/office/drawing/2014/main" id="{00000000-0008-0000-3D00-000005900100}"/>
            </a:ext>
          </a:extLst>
        </xdr:cNvPr>
        <xdr:cNvSpPr>
          <a:spLocks noChangeArrowheads="1"/>
        </xdr:cNvSpPr>
      </xdr:nvSpPr>
      <xdr:spPr bwMode="auto">
        <a:xfrm>
          <a:off x="7785100" y="3841750"/>
          <a:ext cx="0" cy="222250"/>
        </a:xfrm>
        <a:prstGeom prst="rightArrow">
          <a:avLst>
            <a:gd name="adj1" fmla="val 50000"/>
            <a:gd name="adj2" fmla="val -2147483648"/>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16</xdr:row>
      <xdr:rowOff>0</xdr:rowOff>
    </xdr:from>
    <xdr:to>
      <xdr:col>16</xdr:col>
      <xdr:colOff>0</xdr:colOff>
      <xdr:row>32</xdr:row>
      <xdr:rowOff>101600</xdr:rowOff>
    </xdr:to>
    <xdr:graphicFrame macro="">
      <xdr:nvGraphicFramePr>
        <xdr:cNvPr id="13313" name="Chart 1">
          <a:extLst>
            <a:ext uri="{FF2B5EF4-FFF2-40B4-BE49-F238E27FC236}">
              <a16:creationId xmlns:a16="http://schemas.microsoft.com/office/drawing/2014/main" id="{00000000-0008-0000-0400-000001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139700</xdr:colOff>
      <xdr:row>38</xdr:row>
      <xdr:rowOff>25400</xdr:rowOff>
    </xdr:from>
    <xdr:to>
      <xdr:col>16</xdr:col>
      <xdr:colOff>0</xdr:colOff>
      <xdr:row>49</xdr:row>
      <xdr:rowOff>0</xdr:rowOff>
    </xdr:to>
    <xdr:graphicFrame macro="">
      <xdr:nvGraphicFramePr>
        <xdr:cNvPr id="13317" name="Chart 5">
          <a:extLst>
            <a:ext uri="{FF2B5EF4-FFF2-40B4-BE49-F238E27FC236}">
              <a16:creationId xmlns:a16="http://schemas.microsoft.com/office/drawing/2014/main" id="{00000000-0008-0000-0400-000005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19050</xdr:colOff>
      <xdr:row>0</xdr:row>
      <xdr:rowOff>25400</xdr:rowOff>
    </xdr:from>
    <xdr:to>
      <xdr:col>10</xdr:col>
      <xdr:colOff>88900</xdr:colOff>
      <xdr:row>1</xdr:row>
      <xdr:rowOff>76200</xdr:rowOff>
    </xdr:to>
    <xdr:pic>
      <xdr:nvPicPr>
        <xdr:cNvPr id="13622" name="hyper_index_5">
          <a:hlinkClick xmlns:r="http://schemas.openxmlformats.org/officeDocument/2006/relationships" r:id="rId3"/>
          <a:extLst>
            <a:ext uri="{FF2B5EF4-FFF2-40B4-BE49-F238E27FC236}">
              <a16:creationId xmlns:a16="http://schemas.microsoft.com/office/drawing/2014/main" id="{00000000-0008-0000-0400-0000363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0685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0</xdr:row>
      <xdr:rowOff>44450</xdr:rowOff>
    </xdr:from>
    <xdr:to>
      <xdr:col>3</xdr:col>
      <xdr:colOff>241300</xdr:colOff>
      <xdr:row>1</xdr:row>
      <xdr:rowOff>114300</xdr:rowOff>
    </xdr:to>
    <xdr:sp macro="" textlink="">
      <xdr:nvSpPr>
        <xdr:cNvPr id="13623" name="left_arrow_5">
          <a:hlinkClick xmlns:r="http://schemas.openxmlformats.org/officeDocument/2006/relationships" r:id="rId5"/>
          <a:extLst>
            <a:ext uri="{FF2B5EF4-FFF2-40B4-BE49-F238E27FC236}">
              <a16:creationId xmlns:a16="http://schemas.microsoft.com/office/drawing/2014/main" id="{00000000-0008-0000-0400-00003735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19050</xdr:colOff>
      <xdr:row>51</xdr:row>
      <xdr:rowOff>101600</xdr:rowOff>
    </xdr:from>
    <xdr:to>
      <xdr:col>3</xdr:col>
      <xdr:colOff>241300</xdr:colOff>
      <xdr:row>53</xdr:row>
      <xdr:rowOff>6350</xdr:rowOff>
    </xdr:to>
    <xdr:sp macro="" textlink="">
      <xdr:nvSpPr>
        <xdr:cNvPr id="13624" name="left_arrow_1_5">
          <a:hlinkClick xmlns:r="http://schemas.openxmlformats.org/officeDocument/2006/relationships" r:id="rId5"/>
          <a:extLst>
            <a:ext uri="{FF2B5EF4-FFF2-40B4-BE49-F238E27FC236}">
              <a16:creationId xmlns:a16="http://schemas.microsoft.com/office/drawing/2014/main" id="{00000000-0008-0000-0400-000038350000}"/>
            </a:ext>
          </a:extLst>
        </xdr:cNvPr>
        <xdr:cNvSpPr>
          <a:spLocks noChangeArrowheads="1"/>
        </xdr:cNvSpPr>
      </xdr:nvSpPr>
      <xdr:spPr bwMode="auto">
        <a:xfrm rot="10800000">
          <a:off x="158750" y="8140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450850</xdr:colOff>
      <xdr:row>0</xdr:row>
      <xdr:rowOff>44450</xdr:rowOff>
    </xdr:from>
    <xdr:to>
      <xdr:col>16</xdr:col>
      <xdr:colOff>31750</xdr:colOff>
      <xdr:row>1</xdr:row>
      <xdr:rowOff>114300</xdr:rowOff>
    </xdr:to>
    <xdr:sp macro="" textlink="">
      <xdr:nvSpPr>
        <xdr:cNvPr id="13625" name="right_arrow_5">
          <a:hlinkClick xmlns:r="http://schemas.openxmlformats.org/officeDocument/2006/relationships" r:id="rId6"/>
          <a:extLst>
            <a:ext uri="{FF2B5EF4-FFF2-40B4-BE49-F238E27FC236}">
              <a16:creationId xmlns:a16="http://schemas.microsoft.com/office/drawing/2014/main" id="{00000000-0008-0000-0400-000039350000}"/>
            </a:ext>
          </a:extLst>
        </xdr:cNvPr>
        <xdr:cNvSpPr>
          <a:spLocks noChangeArrowheads="1"/>
        </xdr:cNvSpPr>
      </xdr:nvSpPr>
      <xdr:spPr bwMode="auto">
        <a:xfrm>
          <a:off x="8286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450850</xdr:colOff>
      <xdr:row>51</xdr:row>
      <xdr:rowOff>101600</xdr:rowOff>
    </xdr:from>
    <xdr:to>
      <xdr:col>16</xdr:col>
      <xdr:colOff>31750</xdr:colOff>
      <xdr:row>53</xdr:row>
      <xdr:rowOff>6350</xdr:rowOff>
    </xdr:to>
    <xdr:sp macro="" textlink="">
      <xdr:nvSpPr>
        <xdr:cNvPr id="13626" name="right_arrow_1_5">
          <a:hlinkClick xmlns:r="http://schemas.openxmlformats.org/officeDocument/2006/relationships" r:id="rId6"/>
          <a:extLst>
            <a:ext uri="{FF2B5EF4-FFF2-40B4-BE49-F238E27FC236}">
              <a16:creationId xmlns:a16="http://schemas.microsoft.com/office/drawing/2014/main" id="{00000000-0008-0000-0400-00003A350000}"/>
            </a:ext>
          </a:extLst>
        </xdr:cNvPr>
        <xdr:cNvSpPr>
          <a:spLocks noChangeArrowheads="1"/>
        </xdr:cNvSpPr>
      </xdr:nvSpPr>
      <xdr:spPr bwMode="auto">
        <a:xfrm>
          <a:off x="8286750" y="81407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5</xdr:col>
      <xdr:colOff>1562100</xdr:colOff>
      <xdr:row>0</xdr:row>
      <xdr:rowOff>25400</xdr:rowOff>
    </xdr:from>
    <xdr:to>
      <xdr:col>6</xdr:col>
      <xdr:colOff>0</xdr:colOff>
      <xdr:row>1</xdr:row>
      <xdr:rowOff>76200</xdr:rowOff>
    </xdr:to>
    <xdr:pic>
      <xdr:nvPicPr>
        <xdr:cNvPr id="103425" name="hyper_index_49">
          <a:hlinkClick xmlns:r="http://schemas.openxmlformats.org/officeDocument/2006/relationships" r:id="rId1"/>
          <a:extLst>
            <a:ext uri="{FF2B5EF4-FFF2-40B4-BE49-F238E27FC236}">
              <a16:creationId xmlns:a16="http://schemas.microsoft.com/office/drawing/2014/main" id="{00000000-0008-0000-3E00-0000019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78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3</xdr:col>
      <xdr:colOff>107950</xdr:colOff>
      <xdr:row>1</xdr:row>
      <xdr:rowOff>114300</xdr:rowOff>
    </xdr:to>
    <xdr:sp macro="" textlink="">
      <xdr:nvSpPr>
        <xdr:cNvPr id="103426" name="left_arrow_49">
          <a:hlinkClick xmlns:r="http://schemas.openxmlformats.org/officeDocument/2006/relationships" r:id="rId3"/>
          <a:extLst>
            <a:ext uri="{FF2B5EF4-FFF2-40B4-BE49-F238E27FC236}">
              <a16:creationId xmlns:a16="http://schemas.microsoft.com/office/drawing/2014/main" id="{00000000-0008-0000-3E00-000002940100}"/>
            </a:ext>
          </a:extLst>
        </xdr:cNvPr>
        <xdr:cNvSpPr>
          <a:spLocks noChangeArrowheads="1"/>
        </xdr:cNvSpPr>
      </xdr:nvSpPr>
      <xdr:spPr bwMode="auto">
        <a:xfrm rot="10800000">
          <a:off x="158750" y="44450"/>
          <a:ext cx="21590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135</xdr:row>
      <xdr:rowOff>101600</xdr:rowOff>
    </xdr:from>
    <xdr:to>
      <xdr:col>3</xdr:col>
      <xdr:colOff>107950</xdr:colOff>
      <xdr:row>137</xdr:row>
      <xdr:rowOff>6350</xdr:rowOff>
    </xdr:to>
    <xdr:sp macro="" textlink="">
      <xdr:nvSpPr>
        <xdr:cNvPr id="103427" name="left_arrow_1_49">
          <a:hlinkClick xmlns:r="http://schemas.openxmlformats.org/officeDocument/2006/relationships" r:id="rId3"/>
          <a:extLst>
            <a:ext uri="{FF2B5EF4-FFF2-40B4-BE49-F238E27FC236}">
              <a16:creationId xmlns:a16="http://schemas.microsoft.com/office/drawing/2014/main" id="{00000000-0008-0000-3E00-000003940100}"/>
            </a:ext>
          </a:extLst>
        </xdr:cNvPr>
        <xdr:cNvSpPr>
          <a:spLocks noChangeArrowheads="1"/>
        </xdr:cNvSpPr>
      </xdr:nvSpPr>
      <xdr:spPr bwMode="auto">
        <a:xfrm rot="10800000">
          <a:off x="158750" y="21609050"/>
          <a:ext cx="21590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15</xdr:row>
      <xdr:rowOff>101600</xdr:rowOff>
    </xdr:to>
    <xdr:pic>
      <xdr:nvPicPr>
        <xdr:cNvPr id="37904" name="left_border">
          <a:extLst>
            <a:ext uri="{FF2B5EF4-FFF2-40B4-BE49-F238E27FC236}">
              <a16:creationId xmlns:a16="http://schemas.microsoft.com/office/drawing/2014/main" id="{00000000-0008-0000-4000-0000109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8300" cy="248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279400</xdr:colOff>
      <xdr:row>10</xdr:row>
      <xdr:rowOff>152400</xdr:rowOff>
    </xdr:from>
    <xdr:to>
      <xdr:col>2</xdr:col>
      <xdr:colOff>450850</xdr:colOff>
      <xdr:row>15</xdr:row>
      <xdr:rowOff>0</xdr:rowOff>
    </xdr:to>
    <xdr:pic>
      <xdr:nvPicPr>
        <xdr:cNvPr id="37914" name="left_page">
          <a:extLst>
            <a:ext uri="{FF2B5EF4-FFF2-40B4-BE49-F238E27FC236}">
              <a16:creationId xmlns:a16="http://schemas.microsoft.com/office/drawing/2014/main" id="{00000000-0008-0000-4000-00001A9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1739900"/>
          <a:ext cx="171450" cy="641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12700</xdr:colOff>
      <xdr:row>13</xdr:row>
      <xdr:rowOff>57150</xdr:rowOff>
    </xdr:from>
    <xdr:to>
      <xdr:col>6</xdr:col>
      <xdr:colOff>222250</xdr:colOff>
      <xdr:row>14</xdr:row>
      <xdr:rowOff>120650</xdr:rowOff>
    </xdr:to>
    <xdr:sp macro="" textlink="">
      <xdr:nvSpPr>
        <xdr:cNvPr id="37915" name="right_arrow">
          <a:extLst>
            <a:ext uri="{FF2B5EF4-FFF2-40B4-BE49-F238E27FC236}">
              <a16:creationId xmlns:a16="http://schemas.microsoft.com/office/drawing/2014/main" id="{00000000-0008-0000-4000-00001B940000}"/>
            </a:ext>
          </a:extLst>
        </xdr:cNvPr>
        <xdr:cNvSpPr>
          <a:spLocks noChangeArrowheads="1"/>
        </xdr:cNvSpPr>
      </xdr:nvSpPr>
      <xdr:spPr bwMode="auto">
        <a:xfrm>
          <a:off x="2590800" y="2120900"/>
          <a:ext cx="2095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184150</xdr:colOff>
      <xdr:row>13</xdr:row>
      <xdr:rowOff>44450</xdr:rowOff>
    </xdr:from>
    <xdr:to>
      <xdr:col>5</xdr:col>
      <xdr:colOff>393700</xdr:colOff>
      <xdr:row>14</xdr:row>
      <xdr:rowOff>114300</xdr:rowOff>
    </xdr:to>
    <xdr:sp macro="" textlink="">
      <xdr:nvSpPr>
        <xdr:cNvPr id="37916" name="left_arrow">
          <a:extLst>
            <a:ext uri="{FF2B5EF4-FFF2-40B4-BE49-F238E27FC236}">
              <a16:creationId xmlns:a16="http://schemas.microsoft.com/office/drawing/2014/main" id="{00000000-0008-0000-4000-00001C940000}"/>
            </a:ext>
          </a:extLst>
        </xdr:cNvPr>
        <xdr:cNvSpPr>
          <a:spLocks noChangeArrowheads="1"/>
        </xdr:cNvSpPr>
      </xdr:nvSpPr>
      <xdr:spPr bwMode="auto">
        <a:xfrm rot="10800000">
          <a:off x="2152650" y="2108200"/>
          <a:ext cx="2095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11</xdr:col>
      <xdr:colOff>133350</xdr:colOff>
      <xdr:row>10</xdr:row>
      <xdr:rowOff>38100</xdr:rowOff>
    </xdr:from>
    <xdr:to>
      <xdr:col>12</xdr:col>
      <xdr:colOff>203200</xdr:colOff>
      <xdr:row>11</xdr:row>
      <xdr:rowOff>82550</xdr:rowOff>
    </xdr:to>
    <xdr:pic>
      <xdr:nvPicPr>
        <xdr:cNvPr id="37922" name="hyper_index">
          <a:extLst>
            <a:ext uri="{FF2B5EF4-FFF2-40B4-BE49-F238E27FC236}">
              <a16:creationId xmlns:a16="http://schemas.microsoft.com/office/drawing/2014/main" id="{00000000-0008-0000-4000-0000229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59450" y="1625600"/>
          <a:ext cx="67945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266700</xdr:colOff>
      <xdr:row>10</xdr:row>
      <xdr:rowOff>76200</xdr:rowOff>
    </xdr:from>
    <xdr:to>
      <xdr:col>10</xdr:col>
      <xdr:colOff>336550</xdr:colOff>
      <xdr:row>11</xdr:row>
      <xdr:rowOff>120650</xdr:rowOff>
    </xdr:to>
    <xdr:pic>
      <xdr:nvPicPr>
        <xdr:cNvPr id="37924" name="hyper_index_old">
          <a:extLst>
            <a:ext uri="{FF2B5EF4-FFF2-40B4-BE49-F238E27FC236}">
              <a16:creationId xmlns:a16="http://schemas.microsoft.com/office/drawing/2014/main" id="{00000000-0008-0000-4000-0000249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73600" y="1663700"/>
          <a:ext cx="67945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311150</xdr:colOff>
          <xdr:row>29</xdr:row>
          <xdr:rowOff>57150</xdr:rowOff>
        </xdr:from>
        <xdr:to>
          <xdr:col>5</xdr:col>
          <xdr:colOff>628650</xdr:colOff>
          <xdr:row>31</xdr:row>
          <xdr:rowOff>25400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59</xdr:row>
          <xdr:rowOff>57150</xdr:rowOff>
        </xdr:from>
        <xdr:to>
          <xdr:col>2</xdr:col>
          <xdr:colOff>647700</xdr:colOff>
          <xdr:row>61</xdr:row>
          <xdr:rowOff>25400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107950</xdr:colOff>
      <xdr:row>0</xdr:row>
      <xdr:rowOff>25400</xdr:rowOff>
    </xdr:from>
    <xdr:to>
      <xdr:col>7</xdr:col>
      <xdr:colOff>812800</xdr:colOff>
      <xdr:row>1</xdr:row>
      <xdr:rowOff>76200</xdr:rowOff>
    </xdr:to>
    <xdr:pic>
      <xdr:nvPicPr>
        <xdr:cNvPr id="11678" name="hyper_index_6">
          <a:hlinkClick xmlns:r="http://schemas.openxmlformats.org/officeDocument/2006/relationships" r:id="rId1"/>
          <a:extLst>
            <a:ext uri="{FF2B5EF4-FFF2-40B4-BE49-F238E27FC236}">
              <a16:creationId xmlns:a16="http://schemas.microsoft.com/office/drawing/2014/main" id="{00000000-0008-0000-0600-00009E2D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94150" y="25400"/>
          <a:ext cx="7048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11679" name="left_arrow_6">
          <a:hlinkClick xmlns:r="http://schemas.openxmlformats.org/officeDocument/2006/relationships" r:id="rId3"/>
          <a:extLst>
            <a:ext uri="{FF2B5EF4-FFF2-40B4-BE49-F238E27FC236}">
              <a16:creationId xmlns:a16="http://schemas.microsoft.com/office/drawing/2014/main" id="{00000000-0008-0000-0600-00009F2D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74</xdr:row>
      <xdr:rowOff>101600</xdr:rowOff>
    </xdr:from>
    <xdr:to>
      <xdr:col>2</xdr:col>
      <xdr:colOff>241300</xdr:colOff>
      <xdr:row>76</xdr:row>
      <xdr:rowOff>6350</xdr:rowOff>
    </xdr:to>
    <xdr:sp macro="" textlink="">
      <xdr:nvSpPr>
        <xdr:cNvPr id="11680" name="left_arrow_1_6">
          <a:hlinkClick xmlns:r="http://schemas.openxmlformats.org/officeDocument/2006/relationships" r:id="rId3"/>
          <a:extLst>
            <a:ext uri="{FF2B5EF4-FFF2-40B4-BE49-F238E27FC236}">
              <a16:creationId xmlns:a16="http://schemas.microsoft.com/office/drawing/2014/main" id="{00000000-0008-0000-0600-0000A02D0000}"/>
            </a:ext>
          </a:extLst>
        </xdr:cNvPr>
        <xdr:cNvSpPr>
          <a:spLocks noChangeArrowheads="1"/>
        </xdr:cNvSpPr>
      </xdr:nvSpPr>
      <xdr:spPr bwMode="auto">
        <a:xfrm rot="10800000">
          <a:off x="158750" y="11207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546100</xdr:colOff>
      <xdr:row>0</xdr:row>
      <xdr:rowOff>44450</xdr:rowOff>
    </xdr:from>
    <xdr:to>
      <xdr:col>13</xdr:col>
      <xdr:colOff>31750</xdr:colOff>
      <xdr:row>1</xdr:row>
      <xdr:rowOff>114300</xdr:rowOff>
    </xdr:to>
    <xdr:sp macro="" textlink="">
      <xdr:nvSpPr>
        <xdr:cNvPr id="11681" name="right_arrow_6">
          <a:hlinkClick xmlns:r="http://schemas.openxmlformats.org/officeDocument/2006/relationships" r:id="rId4"/>
          <a:extLst>
            <a:ext uri="{FF2B5EF4-FFF2-40B4-BE49-F238E27FC236}">
              <a16:creationId xmlns:a16="http://schemas.microsoft.com/office/drawing/2014/main" id="{00000000-0008-0000-0600-0000A12D0000}"/>
            </a:ext>
          </a:extLst>
        </xdr:cNvPr>
        <xdr:cNvSpPr>
          <a:spLocks noChangeArrowheads="1"/>
        </xdr:cNvSpPr>
      </xdr:nvSpPr>
      <xdr:spPr bwMode="auto">
        <a:xfrm>
          <a:off x="82550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546100</xdr:colOff>
      <xdr:row>74</xdr:row>
      <xdr:rowOff>101600</xdr:rowOff>
    </xdr:from>
    <xdr:to>
      <xdr:col>13</xdr:col>
      <xdr:colOff>31750</xdr:colOff>
      <xdr:row>76</xdr:row>
      <xdr:rowOff>6350</xdr:rowOff>
    </xdr:to>
    <xdr:sp macro="" textlink="">
      <xdr:nvSpPr>
        <xdr:cNvPr id="11682" name="right_arrow_1_6">
          <a:hlinkClick xmlns:r="http://schemas.openxmlformats.org/officeDocument/2006/relationships" r:id="rId4"/>
          <a:extLst>
            <a:ext uri="{FF2B5EF4-FFF2-40B4-BE49-F238E27FC236}">
              <a16:creationId xmlns:a16="http://schemas.microsoft.com/office/drawing/2014/main" id="{00000000-0008-0000-0600-0000A22D0000}"/>
            </a:ext>
          </a:extLst>
        </xdr:cNvPr>
        <xdr:cNvSpPr>
          <a:spLocks noChangeArrowheads="1"/>
        </xdr:cNvSpPr>
      </xdr:nvSpPr>
      <xdr:spPr bwMode="auto">
        <a:xfrm>
          <a:off x="8255000" y="11207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57150</xdr:colOff>
      <xdr:row>0</xdr:row>
      <xdr:rowOff>25400</xdr:rowOff>
    </xdr:from>
    <xdr:to>
      <xdr:col>8</xdr:col>
      <xdr:colOff>12700</xdr:colOff>
      <xdr:row>1</xdr:row>
      <xdr:rowOff>76200</xdr:rowOff>
    </xdr:to>
    <xdr:pic>
      <xdr:nvPicPr>
        <xdr:cNvPr id="4403" name="hyper_index_7">
          <a:hlinkClick xmlns:r="http://schemas.openxmlformats.org/officeDocument/2006/relationships" r:id="rId1"/>
          <a:extLst>
            <a:ext uri="{FF2B5EF4-FFF2-40B4-BE49-F238E27FC236}">
              <a16:creationId xmlns:a16="http://schemas.microsoft.com/office/drawing/2014/main" id="{00000000-0008-0000-0700-0000331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51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4404" name="left_arrow_7">
          <a:hlinkClick xmlns:r="http://schemas.openxmlformats.org/officeDocument/2006/relationships" r:id="rId3"/>
          <a:extLst>
            <a:ext uri="{FF2B5EF4-FFF2-40B4-BE49-F238E27FC236}">
              <a16:creationId xmlns:a16="http://schemas.microsoft.com/office/drawing/2014/main" id="{00000000-0008-0000-0700-00003411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42</xdr:row>
      <xdr:rowOff>101600</xdr:rowOff>
    </xdr:from>
    <xdr:to>
      <xdr:col>2</xdr:col>
      <xdr:colOff>241300</xdr:colOff>
      <xdr:row>44</xdr:row>
      <xdr:rowOff>6350</xdr:rowOff>
    </xdr:to>
    <xdr:sp macro="" textlink="">
      <xdr:nvSpPr>
        <xdr:cNvPr id="4405" name="left_arrow_1_7">
          <a:hlinkClick xmlns:r="http://schemas.openxmlformats.org/officeDocument/2006/relationships" r:id="rId3"/>
          <a:extLst>
            <a:ext uri="{FF2B5EF4-FFF2-40B4-BE49-F238E27FC236}">
              <a16:creationId xmlns:a16="http://schemas.microsoft.com/office/drawing/2014/main" id="{00000000-0008-0000-0700-000035110000}"/>
            </a:ext>
          </a:extLst>
        </xdr:cNvPr>
        <xdr:cNvSpPr>
          <a:spLocks noChangeArrowheads="1"/>
        </xdr:cNvSpPr>
      </xdr:nvSpPr>
      <xdr:spPr bwMode="auto">
        <a:xfrm rot="10800000">
          <a:off x="158750" y="6508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558800</xdr:colOff>
      <xdr:row>0</xdr:row>
      <xdr:rowOff>44450</xdr:rowOff>
    </xdr:from>
    <xdr:to>
      <xdr:col>13</xdr:col>
      <xdr:colOff>31750</xdr:colOff>
      <xdr:row>1</xdr:row>
      <xdr:rowOff>114300</xdr:rowOff>
    </xdr:to>
    <xdr:sp macro="" textlink="">
      <xdr:nvSpPr>
        <xdr:cNvPr id="4406" name="right_arrow_7">
          <a:hlinkClick xmlns:r="http://schemas.openxmlformats.org/officeDocument/2006/relationships" r:id="rId4"/>
          <a:extLst>
            <a:ext uri="{FF2B5EF4-FFF2-40B4-BE49-F238E27FC236}">
              <a16:creationId xmlns:a16="http://schemas.microsoft.com/office/drawing/2014/main" id="{00000000-0008-0000-0700-000036110000}"/>
            </a:ext>
          </a:extLst>
        </xdr:cNvPr>
        <xdr:cNvSpPr>
          <a:spLocks noChangeArrowheads="1"/>
        </xdr:cNvSpPr>
      </xdr:nvSpPr>
      <xdr:spPr bwMode="auto">
        <a:xfrm>
          <a:off x="82359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558800</xdr:colOff>
      <xdr:row>42</xdr:row>
      <xdr:rowOff>101600</xdr:rowOff>
    </xdr:from>
    <xdr:to>
      <xdr:col>13</xdr:col>
      <xdr:colOff>31750</xdr:colOff>
      <xdr:row>44</xdr:row>
      <xdr:rowOff>6350</xdr:rowOff>
    </xdr:to>
    <xdr:sp macro="" textlink="">
      <xdr:nvSpPr>
        <xdr:cNvPr id="4407" name="right_arrow_1_7">
          <a:hlinkClick xmlns:r="http://schemas.openxmlformats.org/officeDocument/2006/relationships" r:id="rId4"/>
          <a:extLst>
            <a:ext uri="{FF2B5EF4-FFF2-40B4-BE49-F238E27FC236}">
              <a16:creationId xmlns:a16="http://schemas.microsoft.com/office/drawing/2014/main" id="{00000000-0008-0000-0700-000037110000}"/>
            </a:ext>
          </a:extLst>
        </xdr:cNvPr>
        <xdr:cNvSpPr>
          <a:spLocks noChangeArrowheads="1"/>
        </xdr:cNvSpPr>
      </xdr:nvSpPr>
      <xdr:spPr bwMode="auto">
        <a:xfrm>
          <a:off x="8235950" y="650875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107950</xdr:colOff>
      <xdr:row>25</xdr:row>
      <xdr:rowOff>101600</xdr:rowOff>
    </xdr:from>
    <xdr:to>
      <xdr:col>23</xdr:col>
      <xdr:colOff>0</xdr:colOff>
      <xdr:row>35</xdr:row>
      <xdr:rowOff>95250</xdr:rowOff>
    </xdr:to>
    <xdr:graphicFrame macro="">
      <xdr:nvGraphicFramePr>
        <xdr:cNvPr id="23560" name="Chart 8">
          <a:extLst>
            <a:ext uri="{FF2B5EF4-FFF2-40B4-BE49-F238E27FC236}">
              <a16:creationId xmlns:a16="http://schemas.microsoft.com/office/drawing/2014/main" id="{00000000-0008-0000-0900-0000085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88900</xdr:colOff>
      <xdr:row>62</xdr:row>
      <xdr:rowOff>120650</xdr:rowOff>
    </xdr:from>
    <xdr:to>
      <xdr:col>24</xdr:col>
      <xdr:colOff>12700</xdr:colOff>
      <xdr:row>74</xdr:row>
      <xdr:rowOff>152400</xdr:rowOff>
    </xdr:to>
    <xdr:graphicFrame macro="">
      <xdr:nvGraphicFramePr>
        <xdr:cNvPr id="23562" name="Chart 10">
          <a:extLst>
            <a:ext uri="{FF2B5EF4-FFF2-40B4-BE49-F238E27FC236}">
              <a16:creationId xmlns:a16="http://schemas.microsoft.com/office/drawing/2014/main" id="{00000000-0008-0000-0900-00000A5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48</xdr:row>
      <xdr:rowOff>95250</xdr:rowOff>
    </xdr:from>
    <xdr:to>
      <xdr:col>23</xdr:col>
      <xdr:colOff>387350</xdr:colOff>
      <xdr:row>59</xdr:row>
      <xdr:rowOff>139700</xdr:rowOff>
    </xdr:to>
    <xdr:graphicFrame macro="">
      <xdr:nvGraphicFramePr>
        <xdr:cNvPr id="23563" name="Chart 11">
          <a:extLst>
            <a:ext uri="{FF2B5EF4-FFF2-40B4-BE49-F238E27FC236}">
              <a16:creationId xmlns:a16="http://schemas.microsoft.com/office/drawing/2014/main" id="{00000000-0008-0000-0900-00000B5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12700</xdr:colOff>
      <xdr:row>47</xdr:row>
      <xdr:rowOff>152400</xdr:rowOff>
    </xdr:from>
    <xdr:to>
      <xdr:col>24</xdr:col>
      <xdr:colOff>76200</xdr:colOff>
      <xdr:row>62</xdr:row>
      <xdr:rowOff>101600</xdr:rowOff>
    </xdr:to>
    <xdr:sp macro="" textlink="">
      <xdr:nvSpPr>
        <xdr:cNvPr id="23863" name="Rectangle 311">
          <a:extLst>
            <a:ext uri="{FF2B5EF4-FFF2-40B4-BE49-F238E27FC236}">
              <a16:creationId xmlns:a16="http://schemas.microsoft.com/office/drawing/2014/main" id="{00000000-0008-0000-0900-0000375D0000}"/>
            </a:ext>
          </a:extLst>
        </xdr:cNvPr>
        <xdr:cNvSpPr>
          <a:spLocks noChangeArrowheads="1"/>
        </xdr:cNvSpPr>
      </xdr:nvSpPr>
      <xdr:spPr bwMode="auto">
        <a:xfrm>
          <a:off x="8166100" y="7531100"/>
          <a:ext cx="393700" cy="2330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12700</xdr:colOff>
      <xdr:row>62</xdr:row>
      <xdr:rowOff>95250</xdr:rowOff>
    </xdr:from>
    <xdr:to>
      <xdr:col>24</xdr:col>
      <xdr:colOff>76200</xdr:colOff>
      <xdr:row>75</xdr:row>
      <xdr:rowOff>6350</xdr:rowOff>
    </xdr:to>
    <xdr:sp macro="" textlink="">
      <xdr:nvSpPr>
        <xdr:cNvPr id="23866" name="Rectangle 314">
          <a:extLst>
            <a:ext uri="{FF2B5EF4-FFF2-40B4-BE49-F238E27FC236}">
              <a16:creationId xmlns:a16="http://schemas.microsoft.com/office/drawing/2014/main" id="{00000000-0008-0000-0900-00003A5D0000}"/>
            </a:ext>
          </a:extLst>
        </xdr:cNvPr>
        <xdr:cNvSpPr>
          <a:spLocks noChangeArrowheads="1"/>
        </xdr:cNvSpPr>
      </xdr:nvSpPr>
      <xdr:spPr bwMode="auto">
        <a:xfrm>
          <a:off x="8166100" y="9855200"/>
          <a:ext cx="393700" cy="19748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0</xdr:colOff>
      <xdr:row>47</xdr:row>
      <xdr:rowOff>139700</xdr:rowOff>
    </xdr:from>
    <xdr:to>
      <xdr:col>23</xdr:col>
      <xdr:colOff>0</xdr:colOff>
      <xdr:row>60</xdr:row>
      <xdr:rowOff>0</xdr:rowOff>
    </xdr:to>
    <xdr:sp macro="" textlink="">
      <xdr:nvSpPr>
        <xdr:cNvPr id="23921" name="Line 369">
          <a:extLst>
            <a:ext uri="{FF2B5EF4-FFF2-40B4-BE49-F238E27FC236}">
              <a16:creationId xmlns:a16="http://schemas.microsoft.com/office/drawing/2014/main" id="{00000000-0008-0000-0900-0000715D0000}"/>
            </a:ext>
          </a:extLst>
        </xdr:cNvPr>
        <xdr:cNvSpPr>
          <a:spLocks noChangeShapeType="1"/>
        </xdr:cNvSpPr>
      </xdr:nvSpPr>
      <xdr:spPr bwMode="auto">
        <a:xfrm>
          <a:off x="8153400" y="7518400"/>
          <a:ext cx="0" cy="1924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61</xdr:row>
      <xdr:rowOff>95250</xdr:rowOff>
    </xdr:from>
    <xdr:to>
      <xdr:col>23</xdr:col>
      <xdr:colOff>0</xdr:colOff>
      <xdr:row>75</xdr:row>
      <xdr:rowOff>0</xdr:rowOff>
    </xdr:to>
    <xdr:sp macro="" textlink="">
      <xdr:nvSpPr>
        <xdr:cNvPr id="23922" name="Line 370">
          <a:extLst>
            <a:ext uri="{FF2B5EF4-FFF2-40B4-BE49-F238E27FC236}">
              <a16:creationId xmlns:a16="http://schemas.microsoft.com/office/drawing/2014/main" id="{00000000-0008-0000-0900-0000725D0000}"/>
            </a:ext>
          </a:extLst>
        </xdr:cNvPr>
        <xdr:cNvSpPr>
          <a:spLocks noChangeShapeType="1"/>
        </xdr:cNvSpPr>
      </xdr:nvSpPr>
      <xdr:spPr bwMode="auto">
        <a:xfrm>
          <a:off x="8153400" y="9696450"/>
          <a:ext cx="0" cy="2127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11</xdr:col>
      <xdr:colOff>190500</xdr:colOff>
      <xdr:row>0</xdr:row>
      <xdr:rowOff>25400</xdr:rowOff>
    </xdr:from>
    <xdr:to>
      <xdr:col>13</xdr:col>
      <xdr:colOff>184150</xdr:colOff>
      <xdr:row>1</xdr:row>
      <xdr:rowOff>76200</xdr:rowOff>
    </xdr:to>
    <xdr:pic>
      <xdr:nvPicPr>
        <xdr:cNvPr id="23925" name="hyper_index_8">
          <a:hlinkClick xmlns:r="http://schemas.openxmlformats.org/officeDocument/2006/relationships" r:id="rId4"/>
          <a:extLst>
            <a:ext uri="{FF2B5EF4-FFF2-40B4-BE49-F238E27FC236}">
              <a16:creationId xmlns:a16="http://schemas.microsoft.com/office/drawing/2014/main" id="{00000000-0008-0000-0900-0000755D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000500" y="25400"/>
          <a:ext cx="7175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3</xdr:col>
      <xdr:colOff>171450</xdr:colOff>
      <xdr:row>1</xdr:row>
      <xdr:rowOff>114300</xdr:rowOff>
    </xdr:to>
    <xdr:sp macro="" textlink="">
      <xdr:nvSpPr>
        <xdr:cNvPr id="23926" name="left_arrow_8">
          <a:hlinkClick xmlns:r="http://schemas.openxmlformats.org/officeDocument/2006/relationships" r:id="rId6"/>
          <a:extLst>
            <a:ext uri="{FF2B5EF4-FFF2-40B4-BE49-F238E27FC236}">
              <a16:creationId xmlns:a16="http://schemas.microsoft.com/office/drawing/2014/main" id="{00000000-0008-0000-0900-0000765D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77</xdr:row>
      <xdr:rowOff>101600</xdr:rowOff>
    </xdr:from>
    <xdr:to>
      <xdr:col>3</xdr:col>
      <xdr:colOff>171450</xdr:colOff>
      <xdr:row>79</xdr:row>
      <xdr:rowOff>6350</xdr:rowOff>
    </xdr:to>
    <xdr:sp macro="" textlink="">
      <xdr:nvSpPr>
        <xdr:cNvPr id="23927" name="left_arrow_1_8">
          <a:hlinkClick xmlns:r="http://schemas.openxmlformats.org/officeDocument/2006/relationships" r:id="rId6"/>
          <a:extLst>
            <a:ext uri="{FF2B5EF4-FFF2-40B4-BE49-F238E27FC236}">
              <a16:creationId xmlns:a16="http://schemas.microsoft.com/office/drawing/2014/main" id="{00000000-0008-0000-0900-0000775D0000}"/>
            </a:ext>
          </a:extLst>
        </xdr:cNvPr>
        <xdr:cNvSpPr>
          <a:spLocks noChangeArrowheads="1"/>
        </xdr:cNvSpPr>
      </xdr:nvSpPr>
      <xdr:spPr bwMode="auto">
        <a:xfrm rot="10800000">
          <a:off x="158750" y="12242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0</xdr:row>
      <xdr:rowOff>44450</xdr:rowOff>
    </xdr:from>
    <xdr:to>
      <xdr:col>24</xdr:col>
      <xdr:colOff>31750</xdr:colOff>
      <xdr:row>1</xdr:row>
      <xdr:rowOff>114300</xdr:rowOff>
    </xdr:to>
    <xdr:sp macro="" textlink="">
      <xdr:nvSpPr>
        <xdr:cNvPr id="23928" name="right_arrow_8">
          <a:hlinkClick xmlns:r="http://schemas.openxmlformats.org/officeDocument/2006/relationships" r:id="rId7"/>
          <a:extLst>
            <a:ext uri="{FF2B5EF4-FFF2-40B4-BE49-F238E27FC236}">
              <a16:creationId xmlns:a16="http://schemas.microsoft.com/office/drawing/2014/main" id="{00000000-0008-0000-0900-0000785D0000}"/>
            </a:ext>
          </a:extLst>
        </xdr:cNvPr>
        <xdr:cNvSpPr>
          <a:spLocks noChangeArrowheads="1"/>
        </xdr:cNvSpPr>
      </xdr:nvSpPr>
      <xdr:spPr bwMode="auto">
        <a:xfrm>
          <a:off x="829310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139700</xdr:colOff>
      <xdr:row>77</xdr:row>
      <xdr:rowOff>101600</xdr:rowOff>
    </xdr:from>
    <xdr:to>
      <xdr:col>24</xdr:col>
      <xdr:colOff>31750</xdr:colOff>
      <xdr:row>79</xdr:row>
      <xdr:rowOff>6350</xdr:rowOff>
    </xdr:to>
    <xdr:sp macro="" textlink="">
      <xdr:nvSpPr>
        <xdr:cNvPr id="23929" name="right_arrow_1_8">
          <a:hlinkClick xmlns:r="http://schemas.openxmlformats.org/officeDocument/2006/relationships" r:id="rId7"/>
          <a:extLst>
            <a:ext uri="{FF2B5EF4-FFF2-40B4-BE49-F238E27FC236}">
              <a16:creationId xmlns:a16="http://schemas.microsoft.com/office/drawing/2014/main" id="{00000000-0008-0000-0900-0000795D0000}"/>
            </a:ext>
          </a:extLst>
        </xdr:cNvPr>
        <xdr:cNvSpPr>
          <a:spLocks noChangeArrowheads="1"/>
        </xdr:cNvSpPr>
      </xdr:nvSpPr>
      <xdr:spPr bwMode="auto">
        <a:xfrm>
          <a:off x="8293100" y="122428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28</xdr:row>
      <xdr:rowOff>12700</xdr:rowOff>
    </xdr:from>
    <xdr:to>
      <xdr:col>14</xdr:col>
      <xdr:colOff>698500</xdr:colOff>
      <xdr:row>39</xdr:row>
      <xdr:rowOff>0</xdr:rowOff>
    </xdr:to>
    <xdr:graphicFrame macro="">
      <xdr:nvGraphicFramePr>
        <xdr:cNvPr id="2053" name="Chart 5">
          <a:extLst>
            <a:ext uri="{FF2B5EF4-FFF2-40B4-BE49-F238E27FC236}">
              <a16:creationId xmlns:a16="http://schemas.microsoft.com/office/drawing/2014/main" id="{00000000-0008-0000-0A00-00000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42</xdr:row>
      <xdr:rowOff>0</xdr:rowOff>
    </xdr:from>
    <xdr:to>
      <xdr:col>15</xdr:col>
      <xdr:colOff>0</xdr:colOff>
      <xdr:row>53</xdr:row>
      <xdr:rowOff>6350</xdr:rowOff>
    </xdr:to>
    <xdr:graphicFrame macro="">
      <xdr:nvGraphicFramePr>
        <xdr:cNvPr id="2085" name="Chart 37">
          <a:extLst>
            <a:ext uri="{FF2B5EF4-FFF2-40B4-BE49-F238E27FC236}">
              <a16:creationId xmlns:a16="http://schemas.microsoft.com/office/drawing/2014/main" id="{00000000-0008-0000-0A00-00002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14</xdr:row>
      <xdr:rowOff>0</xdr:rowOff>
    </xdr:from>
    <xdr:to>
      <xdr:col>15</xdr:col>
      <xdr:colOff>0</xdr:colOff>
      <xdr:row>24</xdr:row>
      <xdr:rowOff>152400</xdr:rowOff>
    </xdr:to>
    <xdr:graphicFrame macro="">
      <xdr:nvGraphicFramePr>
        <xdr:cNvPr id="2400" name="Chart 352">
          <a:extLst>
            <a:ext uri="{FF2B5EF4-FFF2-40B4-BE49-F238E27FC236}">
              <a16:creationId xmlns:a16="http://schemas.microsoft.com/office/drawing/2014/main" id="{00000000-0008-0000-0A00-000060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56</xdr:row>
      <xdr:rowOff>12700</xdr:rowOff>
    </xdr:from>
    <xdr:to>
      <xdr:col>14</xdr:col>
      <xdr:colOff>698500</xdr:colOff>
      <xdr:row>67</xdr:row>
      <xdr:rowOff>19050</xdr:rowOff>
    </xdr:to>
    <xdr:graphicFrame macro="">
      <xdr:nvGraphicFramePr>
        <xdr:cNvPr id="2418" name="Chart 370">
          <a:extLst>
            <a:ext uri="{FF2B5EF4-FFF2-40B4-BE49-F238E27FC236}">
              <a16:creationId xmlns:a16="http://schemas.microsoft.com/office/drawing/2014/main" id="{00000000-0008-0000-0A00-000072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8</xdr:col>
      <xdr:colOff>514350</xdr:colOff>
      <xdr:row>0</xdr:row>
      <xdr:rowOff>25400</xdr:rowOff>
    </xdr:from>
    <xdr:to>
      <xdr:col>9</xdr:col>
      <xdr:colOff>514350</xdr:colOff>
      <xdr:row>1</xdr:row>
      <xdr:rowOff>76200</xdr:rowOff>
    </xdr:to>
    <xdr:pic>
      <xdr:nvPicPr>
        <xdr:cNvPr id="2508" name="hyper_index_9">
          <a:hlinkClick xmlns:r="http://schemas.openxmlformats.org/officeDocument/2006/relationships" r:id="rId5"/>
          <a:extLst>
            <a:ext uri="{FF2B5EF4-FFF2-40B4-BE49-F238E27FC236}">
              <a16:creationId xmlns:a16="http://schemas.microsoft.com/office/drawing/2014/main" id="{00000000-0008-0000-0A00-0000CC09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00500" y="25400"/>
          <a:ext cx="7112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0</xdr:row>
      <xdr:rowOff>44450</xdr:rowOff>
    </xdr:from>
    <xdr:to>
      <xdr:col>2</xdr:col>
      <xdr:colOff>241300</xdr:colOff>
      <xdr:row>1</xdr:row>
      <xdr:rowOff>114300</xdr:rowOff>
    </xdr:to>
    <xdr:sp macro="" textlink="">
      <xdr:nvSpPr>
        <xdr:cNvPr id="2509" name="left_arrow_9">
          <a:hlinkClick xmlns:r="http://schemas.openxmlformats.org/officeDocument/2006/relationships" r:id="rId7"/>
          <a:extLst>
            <a:ext uri="{FF2B5EF4-FFF2-40B4-BE49-F238E27FC236}">
              <a16:creationId xmlns:a16="http://schemas.microsoft.com/office/drawing/2014/main" id="{00000000-0008-0000-0A00-0000CD090000}"/>
            </a:ext>
          </a:extLst>
        </xdr:cNvPr>
        <xdr:cNvSpPr>
          <a:spLocks noChangeArrowheads="1"/>
        </xdr:cNvSpPr>
      </xdr:nvSpPr>
      <xdr:spPr bwMode="auto">
        <a:xfrm rot="10800000">
          <a:off x="1587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19050</xdr:colOff>
      <xdr:row>69</xdr:row>
      <xdr:rowOff>101600</xdr:rowOff>
    </xdr:from>
    <xdr:to>
      <xdr:col>2</xdr:col>
      <xdr:colOff>241300</xdr:colOff>
      <xdr:row>71</xdr:row>
      <xdr:rowOff>6350</xdr:rowOff>
    </xdr:to>
    <xdr:sp macro="" textlink="">
      <xdr:nvSpPr>
        <xdr:cNvPr id="2510" name="left_arrow_1_9">
          <a:hlinkClick xmlns:r="http://schemas.openxmlformats.org/officeDocument/2006/relationships" r:id="rId7"/>
          <a:extLst>
            <a:ext uri="{FF2B5EF4-FFF2-40B4-BE49-F238E27FC236}">
              <a16:creationId xmlns:a16="http://schemas.microsoft.com/office/drawing/2014/main" id="{00000000-0008-0000-0A00-0000CE090000}"/>
            </a:ext>
          </a:extLst>
        </xdr:cNvPr>
        <xdr:cNvSpPr>
          <a:spLocks noChangeArrowheads="1"/>
        </xdr:cNvSpPr>
      </xdr:nvSpPr>
      <xdr:spPr bwMode="auto">
        <a:xfrm rot="10800000">
          <a:off x="158750" y="107950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520700</xdr:colOff>
      <xdr:row>0</xdr:row>
      <xdr:rowOff>44450</xdr:rowOff>
    </xdr:from>
    <xdr:to>
      <xdr:col>15</xdr:col>
      <xdr:colOff>31750</xdr:colOff>
      <xdr:row>1</xdr:row>
      <xdr:rowOff>114300</xdr:rowOff>
    </xdr:to>
    <xdr:sp macro="" textlink="">
      <xdr:nvSpPr>
        <xdr:cNvPr id="2511" name="right_arrow_9">
          <a:hlinkClick xmlns:r="http://schemas.openxmlformats.org/officeDocument/2006/relationships" r:id="rId8"/>
          <a:extLst>
            <a:ext uri="{FF2B5EF4-FFF2-40B4-BE49-F238E27FC236}">
              <a16:creationId xmlns:a16="http://schemas.microsoft.com/office/drawing/2014/main" id="{00000000-0008-0000-0A00-0000CF090000}"/>
            </a:ext>
          </a:extLst>
        </xdr:cNvPr>
        <xdr:cNvSpPr>
          <a:spLocks noChangeArrowheads="1"/>
        </xdr:cNvSpPr>
      </xdr:nvSpPr>
      <xdr:spPr bwMode="auto">
        <a:xfrm>
          <a:off x="8274050" y="44450"/>
          <a:ext cx="222250" cy="22860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520700</xdr:colOff>
      <xdr:row>69</xdr:row>
      <xdr:rowOff>101600</xdr:rowOff>
    </xdr:from>
    <xdr:to>
      <xdr:col>15</xdr:col>
      <xdr:colOff>31750</xdr:colOff>
      <xdr:row>71</xdr:row>
      <xdr:rowOff>6350</xdr:rowOff>
    </xdr:to>
    <xdr:sp macro="" textlink="">
      <xdr:nvSpPr>
        <xdr:cNvPr id="2512" name="right_arrow_1_9">
          <a:hlinkClick xmlns:r="http://schemas.openxmlformats.org/officeDocument/2006/relationships" r:id="rId8"/>
          <a:extLst>
            <a:ext uri="{FF2B5EF4-FFF2-40B4-BE49-F238E27FC236}">
              <a16:creationId xmlns:a16="http://schemas.microsoft.com/office/drawing/2014/main" id="{00000000-0008-0000-0A00-0000D0090000}"/>
            </a:ext>
          </a:extLst>
        </xdr:cNvPr>
        <xdr:cNvSpPr>
          <a:spLocks noChangeArrowheads="1"/>
        </xdr:cNvSpPr>
      </xdr:nvSpPr>
      <xdr:spPr bwMode="auto">
        <a:xfrm>
          <a:off x="8274050" y="10795000"/>
          <a:ext cx="222250" cy="222250"/>
        </a:xfrm>
        <a:prstGeom prst="rightArrow">
          <a:avLst>
            <a:gd name="adj1" fmla="val 50000"/>
            <a:gd name="adj2" fmla="val 25000"/>
          </a:avLst>
        </a:prstGeom>
        <a:solidFill>
          <a:srgbClr xmlns:mc="http://schemas.openxmlformats.org/markup-compatibility/2006" xmlns:a14="http://schemas.microsoft.com/office/drawing/2010/main" val="9999FF" mc:Ignorable="a14" a14:legacySpreadsheetColorIndex="24"/>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ykoh.com/"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tykoh.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tykoh.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tykoh.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tykoh.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2.xml"/><Relationship Id="rId7" Type="http://schemas.openxmlformats.org/officeDocument/2006/relationships/ctrlProp" Target="../ctrlProps/ctrlProp6.xml"/><Relationship Id="rId2" Type="http://schemas.openxmlformats.org/officeDocument/2006/relationships/printerSettings" Target="../printerSettings/printerSettings12.bin"/><Relationship Id="rId1" Type="http://schemas.openxmlformats.org/officeDocument/2006/relationships/hyperlink" Target="https://www.tykoh.com/"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3.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tykoh.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tykoh.com/"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tykoh.com/"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www.afma.com.au/scripts/nc.dll?AFMAV6.786760:LANDING:1951115876:pc=PC_90109"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www.tykoh.com/"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tykoh.com/" TargetMode="Externa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tykoh.com/"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drawing" Target="../drawings/drawing19.xml"/><Relationship Id="rId7" Type="http://schemas.openxmlformats.org/officeDocument/2006/relationships/ctrlProp" Target="../ctrlProps/ctrlProp11.xml"/><Relationship Id="rId2" Type="http://schemas.openxmlformats.org/officeDocument/2006/relationships/printerSettings" Target="../printerSettings/printerSettings21.bin"/><Relationship Id="rId1" Type="http://schemas.openxmlformats.org/officeDocument/2006/relationships/hyperlink" Target="https://www.tykoh.com/" TargetMode="Externa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vmlDrawing" Target="../drawings/vmlDrawing5.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tykoh.com/"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tykoh.com/visual-basic-workshop" TargetMode="External"/><Relationship Id="rId1" Type="http://schemas.openxmlformats.org/officeDocument/2006/relationships/hyperlink" Target="https://www.tykoh.com/" TargetMode="External"/><Relationship Id="rId4"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https://www.tykoh.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https://www.tykoh.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https://www.tykoh.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6.bin"/><Relationship Id="rId1" Type="http://schemas.openxmlformats.org/officeDocument/2006/relationships/hyperlink" Target="https://www.tykoh.com/" TargetMode="External"/><Relationship Id="rId5" Type="http://schemas.openxmlformats.org/officeDocument/2006/relationships/comments" Target="../comments1.xml"/><Relationship Id="rId4" Type="http://schemas.openxmlformats.org/officeDocument/2006/relationships/vmlDrawing" Target="../drawings/vmlDrawing6.vm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7.bin"/><Relationship Id="rId1" Type="http://schemas.openxmlformats.org/officeDocument/2006/relationships/hyperlink" Target="https://www.tykoh.com/"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tykoh.com/" TargetMode="External"/><Relationship Id="rId5" Type="http://schemas.openxmlformats.org/officeDocument/2006/relationships/ctrlProp" Target="../ctrlProps/ctrlProp13.xml"/><Relationship Id="rId4" Type="http://schemas.openxmlformats.org/officeDocument/2006/relationships/vmlDrawing" Target="../drawings/vmlDrawing7.v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9.bin"/><Relationship Id="rId1" Type="http://schemas.openxmlformats.org/officeDocument/2006/relationships/hyperlink" Target="https://www.tykoh.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tykoh.com/"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30.bin"/><Relationship Id="rId1" Type="http://schemas.openxmlformats.org/officeDocument/2006/relationships/hyperlink" Target="https://www.tykoh.com/"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1.bin"/><Relationship Id="rId1" Type="http://schemas.openxmlformats.org/officeDocument/2006/relationships/hyperlink" Target="https://www.tykoh.com/"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2.bin"/><Relationship Id="rId1" Type="http://schemas.openxmlformats.org/officeDocument/2006/relationships/hyperlink" Target="https://www.tykoh.com/" TargetMode="External"/><Relationship Id="rId5" Type="http://schemas.openxmlformats.org/officeDocument/2006/relationships/comments" Target="../comments2.xml"/><Relationship Id="rId4" Type="http://schemas.openxmlformats.org/officeDocument/2006/relationships/vmlDrawing" Target="../drawings/vmlDrawing8.vm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3.bin"/><Relationship Id="rId1" Type="http://schemas.openxmlformats.org/officeDocument/2006/relationships/hyperlink" Target="https://www.tykoh.com/"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4.bin"/><Relationship Id="rId1" Type="http://schemas.openxmlformats.org/officeDocument/2006/relationships/hyperlink" Target="https://www.tykoh.com/"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5.bin"/><Relationship Id="rId1" Type="http://schemas.openxmlformats.org/officeDocument/2006/relationships/hyperlink" Target="https://www.tykoh.com/"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6.bin"/><Relationship Id="rId1" Type="http://schemas.openxmlformats.org/officeDocument/2006/relationships/hyperlink" Target="https://www.tykoh.com/"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7.bin"/><Relationship Id="rId1" Type="http://schemas.openxmlformats.org/officeDocument/2006/relationships/hyperlink" Target="https://www.tykoh.com/" TargetMode="External"/><Relationship Id="rId6" Type="http://schemas.openxmlformats.org/officeDocument/2006/relationships/comments" Target="../comments3.xml"/><Relationship Id="rId5" Type="http://schemas.openxmlformats.org/officeDocument/2006/relationships/ctrlProp" Target="../ctrlProps/ctrlProp14.xml"/><Relationship Id="rId4" Type="http://schemas.openxmlformats.org/officeDocument/2006/relationships/vmlDrawing" Target="../drawings/vmlDrawing9.vm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8.bin"/><Relationship Id="rId1" Type="http://schemas.openxmlformats.org/officeDocument/2006/relationships/hyperlink" Target="https://www.tykoh.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9.bin"/><Relationship Id="rId1" Type="http://schemas.openxmlformats.org/officeDocument/2006/relationships/hyperlink" Target="https://www.tykoh.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tykoh.com/"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40.bin"/><Relationship Id="rId1" Type="http://schemas.openxmlformats.org/officeDocument/2006/relationships/hyperlink" Target="https://www.tykoh.com/"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bin"/><Relationship Id="rId1" Type="http://schemas.openxmlformats.org/officeDocument/2006/relationships/hyperlink" Target="https://www.tykoh.com/"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2.bin"/><Relationship Id="rId1" Type="http://schemas.openxmlformats.org/officeDocument/2006/relationships/hyperlink" Target="https://www.tykoh.com/"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bin"/><Relationship Id="rId1" Type="http://schemas.openxmlformats.org/officeDocument/2006/relationships/hyperlink" Target="https://www.tykoh.com/"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4.bin"/><Relationship Id="rId1" Type="http://schemas.openxmlformats.org/officeDocument/2006/relationships/hyperlink" Target="https://www.tykoh.com/"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5.bin"/><Relationship Id="rId1" Type="http://schemas.openxmlformats.org/officeDocument/2006/relationships/hyperlink" Target="https://www.tykoh.com/"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6.bin"/><Relationship Id="rId1" Type="http://schemas.openxmlformats.org/officeDocument/2006/relationships/hyperlink" Target="https://www.tykoh.com/"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7.bin"/><Relationship Id="rId1" Type="http://schemas.openxmlformats.org/officeDocument/2006/relationships/hyperlink" Target="https://www.tykoh.com/"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8.bin"/><Relationship Id="rId1" Type="http://schemas.openxmlformats.org/officeDocument/2006/relationships/hyperlink" Target="https://www.tykoh.com/"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9.bin"/><Relationship Id="rId1" Type="http://schemas.openxmlformats.org/officeDocument/2006/relationships/hyperlink" Target="https://www.tykoh.com/"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50.bin"/><Relationship Id="rId1" Type="http://schemas.openxmlformats.org/officeDocument/2006/relationships/hyperlink" Target="https://www.tykoh.com/"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s://www.tykoh.com/spreadsheet-skills-assessment" TargetMode="External"/><Relationship Id="rId2" Type="http://schemas.openxmlformats.org/officeDocument/2006/relationships/hyperlink" Target="https://www.tykoh.com/" TargetMode="External"/><Relationship Id="rId1" Type="http://schemas.openxmlformats.org/officeDocument/2006/relationships/hyperlink" Target="mailto:info@tykoh.com?subject=Interactive%20Spreadsheet%20Guide" TargetMode="External"/><Relationship Id="rId6" Type="http://schemas.openxmlformats.org/officeDocument/2006/relationships/drawing" Target="../drawings/drawing49.xml"/><Relationship Id="rId5" Type="http://schemas.openxmlformats.org/officeDocument/2006/relationships/printerSettings" Target="../printerSettings/printerSettings51.bin"/><Relationship Id="rId4" Type="http://schemas.openxmlformats.org/officeDocument/2006/relationships/hyperlink" Target="https://www.tykoh.com/spreadsheet-skills-workshop"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2.bin"/><Relationship Id="rId1" Type="http://schemas.openxmlformats.org/officeDocument/2006/relationships/hyperlink" Target="http://localhost/tykoh.LP2/My%20Documents/website-production-new/index.php?rfr=T&amp;page=Indexx" TargetMode="Externa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www.tykoh.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tykoh.com/" TargetMode="External"/><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tyko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C1:P172"/>
  <sheetViews>
    <sheetView showGridLines="0" showRowColHeaders="0" workbookViewId="0"/>
  </sheetViews>
  <sheetFormatPr defaultColWidth="0" defaultRowHeight="12.5" zeroHeight="1"/>
  <cols>
    <col min="1" max="2" width="1" style="80" customWidth="1"/>
    <col min="3" max="4" width="2.54296875" style="602" customWidth="1"/>
    <col min="5" max="6" width="9.453125" style="80" customWidth="1"/>
    <col min="7" max="7" width="9.1796875" style="80" customWidth="1"/>
    <col min="8" max="8" width="8.54296875" style="80" customWidth="1"/>
    <col min="9" max="11" width="9.453125" style="80" customWidth="1"/>
    <col min="12" max="12" width="6.453125" style="80" customWidth="1"/>
    <col min="13" max="13" width="6.1796875" style="80" customWidth="1"/>
    <col min="14" max="14" width="9.453125" style="80" customWidth="1"/>
    <col min="15" max="15" width="15.453125" style="80" customWidth="1"/>
    <col min="16" max="16" width="11.453125" style="80" customWidth="1"/>
    <col min="17" max="17" width="1.81640625" style="80" customWidth="1"/>
    <col min="18" max="16384" width="0" style="80" hidden="1"/>
  </cols>
  <sheetData>
    <row r="1" spans="3:16"/>
    <row r="2" spans="3:16">
      <c r="C2" s="603"/>
      <c r="D2" s="603"/>
      <c r="E2" s="269"/>
      <c r="F2" s="269"/>
      <c r="G2" s="269"/>
      <c r="H2" s="1458"/>
      <c r="I2" s="1458"/>
      <c r="J2" s="1458"/>
      <c r="K2" s="1458"/>
      <c r="L2" s="1459"/>
      <c r="M2" s="269"/>
      <c r="N2" s="269"/>
      <c r="O2" s="269"/>
      <c r="P2" s="269"/>
    </row>
    <row r="3" spans="3:16" s="229" customFormat="1">
      <c r="C3" s="604"/>
      <c r="D3" s="604"/>
      <c r="E3" s="75"/>
      <c r="F3" s="75"/>
      <c r="G3" s="75"/>
      <c r="H3" s="75"/>
      <c r="I3" s="75"/>
      <c r="J3" s="75"/>
      <c r="K3" s="75"/>
      <c r="L3" s="75"/>
      <c r="M3" s="75"/>
      <c r="N3" s="75"/>
      <c r="O3" s="75"/>
      <c r="P3" s="75"/>
    </row>
    <row r="4" spans="3:16" s="229" customFormat="1" ht="12.75" customHeight="1">
      <c r="C4" s="1461" t="s">
        <v>269</v>
      </c>
      <c r="D4" s="1461"/>
      <c r="E4" s="1462"/>
      <c r="F4" s="1462"/>
      <c r="G4" s="1462"/>
      <c r="H4" s="1462"/>
      <c r="I4" s="1462"/>
      <c r="J4" s="1462"/>
      <c r="K4" s="1462"/>
      <c r="L4" s="1462"/>
      <c r="M4" s="1462"/>
      <c r="N4" s="1462"/>
      <c r="O4" s="1462"/>
      <c r="P4" s="1462"/>
    </row>
    <row r="5" spans="3:16" s="229" customFormat="1" ht="12.75" customHeight="1">
      <c r="C5" s="1462"/>
      <c r="D5" s="1462"/>
      <c r="E5" s="1462"/>
      <c r="F5" s="1462"/>
      <c r="G5" s="1462"/>
      <c r="H5" s="1462"/>
      <c r="I5" s="1462"/>
      <c r="J5" s="1462"/>
      <c r="K5" s="1462"/>
      <c r="L5" s="1462"/>
      <c r="M5" s="1462"/>
      <c r="N5" s="1462"/>
      <c r="O5" s="1462"/>
      <c r="P5" s="1462"/>
    </row>
    <row r="6" spans="3:16" s="229" customFormat="1" ht="12.75" customHeight="1">
      <c r="C6" s="1462"/>
      <c r="D6" s="1462"/>
      <c r="E6" s="1462"/>
      <c r="F6" s="1462"/>
      <c r="G6" s="1462"/>
      <c r="H6" s="1462"/>
      <c r="I6" s="1462"/>
      <c r="J6" s="1462"/>
      <c r="K6" s="1462"/>
      <c r="L6" s="1462"/>
      <c r="M6" s="1462"/>
      <c r="N6" s="1462"/>
      <c r="O6" s="1462"/>
      <c r="P6" s="1462"/>
    </row>
    <row r="7" spans="3:16" s="229" customFormat="1" ht="12.75" customHeight="1">
      <c r="C7" s="1463" t="s">
        <v>521</v>
      </c>
      <c r="D7" s="1463"/>
      <c r="E7" s="1464"/>
      <c r="F7" s="1464"/>
      <c r="G7" s="1464"/>
      <c r="H7" s="1464"/>
      <c r="I7" s="1464"/>
      <c r="J7" s="1464"/>
      <c r="K7" s="1464"/>
      <c r="L7" s="1464"/>
      <c r="M7" s="1464"/>
      <c r="N7" s="1464"/>
      <c r="O7" s="1464"/>
      <c r="P7" s="1464"/>
    </row>
    <row r="8" spans="3:16" s="229" customFormat="1" ht="13.5" customHeight="1">
      <c r="C8" s="1464"/>
      <c r="D8" s="1464"/>
      <c r="E8" s="1464"/>
      <c r="F8" s="1464"/>
      <c r="G8" s="1464"/>
      <c r="H8" s="1464"/>
      <c r="I8" s="1464"/>
      <c r="J8" s="1464"/>
      <c r="K8" s="1464"/>
      <c r="L8" s="1464"/>
      <c r="M8" s="1464"/>
      <c r="N8" s="1464"/>
      <c r="O8" s="1464"/>
      <c r="P8" s="1464"/>
    </row>
    <row r="9" spans="3:16" s="1315" customFormat="1" ht="13.5" customHeight="1">
      <c r="C9" s="1360"/>
      <c r="D9" s="1373"/>
      <c r="E9" s="1360"/>
      <c r="F9" s="1360"/>
      <c r="G9" s="1360"/>
      <c r="H9" s="1360"/>
      <c r="I9" s="1360"/>
      <c r="J9" s="1360"/>
      <c r="K9" s="1360"/>
      <c r="L9" s="1360"/>
      <c r="M9" s="1360"/>
      <c r="N9" s="1360"/>
      <c r="O9" s="1360"/>
      <c r="P9" s="1360"/>
    </row>
    <row r="10" spans="3:16" s="1374" customFormat="1" ht="13">
      <c r="C10" s="1448" t="s">
        <v>852</v>
      </c>
      <c r="D10" s="1448"/>
      <c r="E10" s="1460"/>
      <c r="F10" s="1460"/>
      <c r="G10" s="1460"/>
      <c r="H10" s="1460"/>
      <c r="I10" s="1460"/>
      <c r="J10" s="1460"/>
      <c r="K10" s="1460"/>
      <c r="L10" s="1460"/>
      <c r="M10" s="1460"/>
      <c r="N10" s="1460"/>
      <c r="O10" s="1460"/>
      <c r="P10" s="1460"/>
    </row>
    <row r="11" spans="3:16" s="1375" customFormat="1" ht="13.5" customHeight="1">
      <c r="C11" s="1448"/>
      <c r="D11" s="1448"/>
      <c r="E11" s="1460"/>
      <c r="F11" s="1460"/>
      <c r="G11" s="1460"/>
      <c r="H11" s="1460"/>
      <c r="I11" s="1460"/>
      <c r="J11" s="1460"/>
      <c r="K11" s="1460"/>
      <c r="L11" s="1460"/>
      <c r="M11" s="1460"/>
      <c r="N11" s="1460"/>
      <c r="O11" s="1460"/>
      <c r="P11" s="1460"/>
    </row>
    <row r="12" spans="3:16" s="1375" customFormat="1" ht="3.75" customHeight="1">
      <c r="C12" s="1359"/>
      <c r="D12" s="1359"/>
      <c r="E12" s="812"/>
      <c r="F12" s="812"/>
      <c r="G12" s="812"/>
      <c r="H12" s="812"/>
      <c r="I12" s="812"/>
      <c r="J12" s="812"/>
      <c r="K12" s="812"/>
      <c r="L12" s="812"/>
      <c r="M12" s="812"/>
      <c r="N12" s="812"/>
      <c r="O12" s="812"/>
      <c r="P12" s="812"/>
    </row>
    <row r="13" spans="3:16" s="1375" customFormat="1" ht="13">
      <c r="C13" s="1376" t="s">
        <v>522</v>
      </c>
      <c r="D13" s="812"/>
      <c r="E13" s="812"/>
      <c r="F13" s="812"/>
      <c r="G13" s="812"/>
      <c r="H13" s="812"/>
      <c r="I13" s="812"/>
      <c r="J13" s="812"/>
      <c r="K13" s="812"/>
      <c r="L13" s="812"/>
      <c r="M13" s="812"/>
      <c r="N13" s="812"/>
      <c r="O13" s="812"/>
      <c r="P13" s="812"/>
    </row>
    <row r="14" spans="3:16" s="1375" customFormat="1" ht="3.75" customHeight="1">
      <c r="C14" s="812"/>
      <c r="D14" s="812"/>
      <c r="E14" s="812"/>
      <c r="F14" s="812"/>
      <c r="G14" s="812"/>
      <c r="H14" s="812"/>
      <c r="I14" s="812"/>
      <c r="J14" s="812"/>
      <c r="K14" s="812"/>
      <c r="L14" s="812"/>
      <c r="M14" s="812"/>
      <c r="N14" s="812"/>
      <c r="O14" s="812"/>
      <c r="P14" s="812"/>
    </row>
    <row r="15" spans="3:16" s="601" customFormat="1">
      <c r="C15" s="1204" t="s">
        <v>430</v>
      </c>
      <c r="D15" s="1206"/>
      <c r="E15" s="1203"/>
      <c r="F15" s="1203"/>
      <c r="G15" s="1203"/>
      <c r="H15" s="1203"/>
      <c r="I15" s="1203"/>
      <c r="J15" s="1203"/>
      <c r="K15" s="1203"/>
      <c r="L15" s="1203"/>
      <c r="M15" s="1203"/>
      <c r="N15" s="1203"/>
      <c r="O15" s="1203"/>
      <c r="P15" s="1203"/>
    </row>
    <row r="16" spans="3:16" s="601" customFormat="1" ht="7.5" customHeight="1">
      <c r="C16" s="1204"/>
      <c r="D16" s="1206"/>
      <c r="E16" s="1203"/>
      <c r="F16" s="1203"/>
      <c r="G16" s="1203"/>
      <c r="H16" s="1203"/>
      <c r="I16" s="1203"/>
      <c r="J16" s="1203"/>
      <c r="K16" s="1203"/>
      <c r="L16" s="1203"/>
      <c r="M16" s="1203"/>
      <c r="N16" s="1203"/>
      <c r="O16" s="1203"/>
      <c r="P16" s="1203"/>
    </row>
    <row r="17" spans="3:16" s="601" customFormat="1" ht="12.75" customHeight="1">
      <c r="C17" s="1204"/>
      <c r="D17" s="1205" t="s">
        <v>361</v>
      </c>
      <c r="E17" s="1447" t="s">
        <v>518</v>
      </c>
      <c r="F17" s="1447"/>
      <c r="G17" s="1447"/>
      <c r="H17" s="1447"/>
      <c r="I17" s="1447"/>
      <c r="J17" s="1447"/>
      <c r="K17" s="1447"/>
      <c r="L17" s="1447"/>
      <c r="M17" s="1447"/>
      <c r="N17" s="1447"/>
      <c r="O17" s="1447"/>
      <c r="P17" s="1447"/>
    </row>
    <row r="18" spans="3:16" s="601" customFormat="1" ht="12.75" customHeight="1">
      <c r="C18" s="1204"/>
      <c r="D18" s="1205"/>
      <c r="E18" s="1447"/>
      <c r="F18" s="1447"/>
      <c r="G18" s="1447"/>
      <c r="H18" s="1447"/>
      <c r="I18" s="1447"/>
      <c r="J18" s="1447"/>
      <c r="K18" s="1447"/>
      <c r="L18" s="1447"/>
      <c r="M18" s="1447"/>
      <c r="N18" s="1447"/>
      <c r="O18" s="1447"/>
      <c r="P18" s="1447"/>
    </row>
    <row r="19" spans="3:16" s="601" customFormat="1" ht="7.5" customHeight="1">
      <c r="C19" s="1204"/>
      <c r="D19" s="1206"/>
      <c r="E19" s="1203"/>
      <c r="F19" s="1203"/>
      <c r="G19" s="1203"/>
      <c r="H19" s="1203"/>
      <c r="I19" s="1203"/>
      <c r="J19" s="1203"/>
      <c r="K19" s="1203"/>
      <c r="L19" s="1203"/>
      <c r="M19" s="1203"/>
      <c r="N19" s="1203"/>
      <c r="O19" s="1203"/>
      <c r="P19" s="1203"/>
    </row>
    <row r="20" spans="3:16" s="601" customFormat="1" ht="12.75" customHeight="1">
      <c r="C20" s="1204"/>
      <c r="D20" s="1206" t="s">
        <v>361</v>
      </c>
      <c r="E20" s="1447" t="s">
        <v>271</v>
      </c>
      <c r="F20" s="1447"/>
      <c r="G20" s="1447"/>
      <c r="H20" s="1447"/>
      <c r="I20" s="1447"/>
      <c r="J20" s="1447"/>
      <c r="K20" s="1447"/>
      <c r="L20" s="1447"/>
      <c r="M20" s="1447"/>
      <c r="N20" s="1447"/>
      <c r="O20" s="1447"/>
      <c r="P20" s="1447"/>
    </row>
    <row r="21" spans="3:16" s="601" customFormat="1" ht="12.75" customHeight="1">
      <c r="C21" s="1204"/>
      <c r="D21" s="1206"/>
      <c r="E21" s="1447"/>
      <c r="F21" s="1447"/>
      <c r="G21" s="1447"/>
      <c r="H21" s="1447"/>
      <c r="I21" s="1447"/>
      <c r="J21" s="1447"/>
      <c r="K21" s="1447"/>
      <c r="L21" s="1447"/>
      <c r="M21" s="1447"/>
      <c r="N21" s="1447"/>
      <c r="O21" s="1447"/>
      <c r="P21" s="1447"/>
    </row>
    <row r="22" spans="3:16" s="601" customFormat="1" ht="7.5" customHeight="1">
      <c r="C22" s="1204"/>
      <c r="D22" s="1206"/>
      <c r="E22" s="1203"/>
      <c r="F22" s="1203"/>
      <c r="G22" s="1203"/>
      <c r="H22" s="1203"/>
      <c r="I22" s="1203"/>
      <c r="J22" s="1203"/>
      <c r="K22" s="1203"/>
      <c r="L22" s="1203"/>
      <c r="M22" s="1203"/>
      <c r="N22" s="1203"/>
      <c r="O22" s="1203"/>
      <c r="P22" s="1203"/>
    </row>
    <row r="23" spans="3:16" s="601" customFormat="1" ht="12.75" customHeight="1">
      <c r="C23" s="1204"/>
      <c r="D23" s="1205" t="s">
        <v>361</v>
      </c>
      <c r="E23" s="1203" t="s">
        <v>853</v>
      </c>
      <c r="F23" s="1203"/>
      <c r="G23" s="1203"/>
      <c r="H23" s="1203"/>
      <c r="I23" s="1203"/>
      <c r="J23" s="1203"/>
      <c r="K23" s="1203"/>
      <c r="L23" s="1203"/>
      <c r="M23" s="1203"/>
      <c r="N23" s="1203"/>
      <c r="O23" s="1203"/>
      <c r="P23" s="1203"/>
    </row>
    <row r="24" spans="3:16" s="601" customFormat="1" ht="4.5" customHeight="1">
      <c r="C24" s="1204"/>
      <c r="D24" s="1206"/>
      <c r="E24" s="1203"/>
      <c r="F24" s="1203"/>
      <c r="G24" s="1203"/>
      <c r="H24" s="1203"/>
      <c r="I24" s="1203"/>
      <c r="J24" s="1203"/>
      <c r="K24" s="1203"/>
      <c r="L24" s="1203"/>
      <c r="M24" s="1203"/>
      <c r="N24" s="1203"/>
      <c r="O24" s="1203"/>
      <c r="P24" s="1203"/>
    </row>
    <row r="25" spans="3:16" s="601" customFormat="1" ht="12.75" customHeight="1">
      <c r="C25" s="1204" t="s">
        <v>854</v>
      </c>
      <c r="D25" s="1206"/>
      <c r="E25" s="1203"/>
      <c r="F25" s="1203"/>
      <c r="G25" s="1203"/>
      <c r="H25" s="1203"/>
      <c r="I25" s="1203"/>
      <c r="J25" s="1203"/>
      <c r="K25" s="1203"/>
      <c r="L25" s="1203"/>
      <c r="M25" s="1203"/>
      <c r="N25" s="1203"/>
      <c r="O25" s="1203"/>
      <c r="P25" s="1203"/>
    </row>
    <row r="26" spans="3:16" s="1375" customFormat="1" ht="12.75" customHeight="1">
      <c r="C26" s="1206"/>
      <c r="D26" s="1206"/>
      <c r="E26" s="1207"/>
      <c r="F26" s="1208"/>
      <c r="G26" s="1208"/>
      <c r="H26" s="1208"/>
      <c r="I26" s="1208"/>
      <c r="J26" s="1208"/>
      <c r="K26" s="1208"/>
      <c r="L26" s="1208"/>
      <c r="M26" s="1208"/>
      <c r="N26" s="1208"/>
      <c r="O26" s="1208"/>
      <c r="P26" s="1208"/>
    </row>
    <row r="27" spans="3:16" s="1195" customFormat="1" ht="12.75" customHeight="1">
      <c r="C27" s="1337" t="s">
        <v>1649</v>
      </c>
      <c r="E27" s="1207"/>
      <c r="F27" s="1208"/>
      <c r="G27" s="1208"/>
      <c r="H27" s="1208"/>
      <c r="I27" s="1208"/>
      <c r="J27" s="1208"/>
      <c r="K27" s="1208"/>
      <c r="L27" s="1208"/>
      <c r="M27" s="1208"/>
      <c r="N27" s="1208"/>
      <c r="O27" s="1208"/>
      <c r="P27" s="1208"/>
    </row>
    <row r="28" spans="3:16" s="1195" customFormat="1" ht="12.75" customHeight="1">
      <c r="C28" s="1448" t="s">
        <v>931</v>
      </c>
      <c r="D28" s="1449"/>
      <c r="E28" s="1449"/>
      <c r="F28" s="1449"/>
      <c r="G28" s="1449"/>
      <c r="H28" s="1449"/>
      <c r="I28" s="1449"/>
      <c r="J28" s="1449"/>
      <c r="K28" s="1449"/>
      <c r="L28" s="1449"/>
      <c r="M28" s="1449"/>
      <c r="N28" s="1449"/>
      <c r="O28" s="1449"/>
      <c r="P28" s="1449"/>
    </row>
    <row r="29" spans="3:16" s="1195" customFormat="1" ht="12.75" customHeight="1">
      <c r="C29" s="1448"/>
      <c r="D29" s="1449"/>
      <c r="E29" s="1449"/>
      <c r="F29" s="1449"/>
      <c r="G29" s="1449"/>
      <c r="H29" s="1449"/>
      <c r="I29" s="1449"/>
      <c r="J29" s="1449"/>
      <c r="K29" s="1449"/>
      <c r="L29" s="1449"/>
      <c r="M29" s="1449"/>
      <c r="N29" s="1449"/>
      <c r="O29" s="1449"/>
      <c r="P29" s="1449"/>
    </row>
    <row r="30" spans="3:16" s="1195" customFormat="1" ht="12.75" customHeight="1">
      <c r="C30" s="1448"/>
      <c r="D30" s="1449"/>
      <c r="E30" s="1449"/>
      <c r="F30" s="1449"/>
      <c r="G30" s="1449"/>
      <c r="H30" s="1449"/>
      <c r="I30" s="1449"/>
      <c r="J30" s="1449"/>
      <c r="K30" s="1449"/>
      <c r="L30" s="1449"/>
      <c r="M30" s="1449"/>
      <c r="N30" s="1449"/>
      <c r="O30" s="1449"/>
      <c r="P30" s="1449"/>
    </row>
    <row r="31" spans="3:16" s="1195" customFormat="1" ht="6" customHeight="1">
      <c r="C31" s="1206"/>
      <c r="D31" s="1206"/>
      <c r="E31" s="774"/>
      <c r="F31" s="774"/>
      <c r="G31" s="774"/>
      <c r="H31" s="774"/>
      <c r="I31" s="774"/>
      <c r="J31" s="774"/>
      <c r="K31" s="774"/>
      <c r="L31" s="774"/>
      <c r="M31" s="774"/>
      <c r="N31" s="774"/>
      <c r="O31" s="774"/>
      <c r="P31" s="774"/>
    </row>
    <row r="32" spans="3:16" s="1196" customFormat="1" ht="12.75" customHeight="1">
      <c r="C32" s="1204" t="s">
        <v>704</v>
      </c>
      <c r="D32" s="1204"/>
      <c r="E32" s="1209"/>
      <c r="F32" s="1209"/>
      <c r="G32" s="1209"/>
      <c r="H32" s="1209"/>
      <c r="I32" s="1209"/>
      <c r="J32" s="1209"/>
      <c r="K32" s="1209"/>
      <c r="L32" s="1209"/>
      <c r="M32" s="1336">
        <v>6.3E-2</v>
      </c>
      <c r="N32" s="1209" t="s">
        <v>1044</v>
      </c>
      <c r="O32" s="1209"/>
      <c r="P32" s="1209"/>
    </row>
    <row r="33" spans="3:16" s="1195" customFormat="1" ht="6" customHeight="1">
      <c r="C33" s="1210"/>
      <c r="D33" s="1210"/>
      <c r="E33" s="1208"/>
      <c r="F33" s="1208"/>
      <c r="G33" s="1208"/>
      <c r="H33" s="1208"/>
      <c r="I33" s="1208"/>
      <c r="J33" s="1208"/>
      <c r="K33" s="1208"/>
      <c r="L33" s="1208"/>
      <c r="M33" s="1208"/>
      <c r="N33" s="1208"/>
      <c r="O33" s="1208"/>
      <c r="P33" s="1208"/>
    </row>
    <row r="34" spans="3:16" s="1196" customFormat="1" ht="12.75" customHeight="1">
      <c r="C34" s="1450" t="s">
        <v>274</v>
      </c>
      <c r="D34" s="1446"/>
      <c r="E34" s="1446"/>
      <c r="F34" s="1446"/>
      <c r="G34" s="1446"/>
      <c r="H34" s="1446"/>
      <c r="I34" s="1446"/>
      <c r="J34" s="1446"/>
      <c r="K34" s="1446"/>
      <c r="L34" s="1446"/>
      <c r="M34" s="1446"/>
      <c r="N34" s="1446"/>
      <c r="O34" s="1446"/>
      <c r="P34" s="1446"/>
    </row>
    <row r="35" spans="3:16" s="1196" customFormat="1" ht="12.75" customHeight="1">
      <c r="C35" s="1450"/>
      <c r="D35" s="1446"/>
      <c r="E35" s="1446"/>
      <c r="F35" s="1446"/>
      <c r="G35" s="1446"/>
      <c r="H35" s="1446"/>
      <c r="I35" s="1446"/>
      <c r="J35" s="1446"/>
      <c r="K35" s="1446"/>
      <c r="L35" s="1446"/>
      <c r="M35" s="1446"/>
      <c r="N35" s="1446"/>
      <c r="O35" s="1446"/>
      <c r="P35" s="1446"/>
    </row>
    <row r="36" spans="3:16" s="1196" customFormat="1" ht="12.75" customHeight="1">
      <c r="C36" s="1450"/>
      <c r="D36" s="1446"/>
      <c r="E36" s="1446"/>
      <c r="F36" s="1446"/>
      <c r="G36" s="1446"/>
      <c r="H36" s="1446"/>
      <c r="I36" s="1446"/>
      <c r="J36" s="1446"/>
      <c r="K36" s="1446"/>
      <c r="L36" s="1446"/>
      <c r="M36" s="1446"/>
      <c r="N36" s="1446"/>
      <c r="O36" s="1446"/>
      <c r="P36" s="1446"/>
    </row>
    <row r="37" spans="3:16" s="1196" customFormat="1" ht="12.75" customHeight="1">
      <c r="C37" s="1450"/>
      <c r="D37" s="1446"/>
      <c r="E37" s="1446"/>
      <c r="F37" s="1446"/>
      <c r="G37" s="1446"/>
      <c r="H37" s="1446"/>
      <c r="I37" s="1446"/>
      <c r="J37" s="1446"/>
      <c r="K37" s="1446"/>
      <c r="L37" s="1446"/>
      <c r="M37" s="1446"/>
      <c r="N37" s="1446"/>
      <c r="O37" s="1446"/>
      <c r="P37" s="1446"/>
    </row>
    <row r="38" spans="3:16" s="1196" customFormat="1" ht="12.75" customHeight="1">
      <c r="C38" s="1446"/>
      <c r="D38" s="1446"/>
      <c r="E38" s="1446"/>
      <c r="F38" s="1446"/>
      <c r="G38" s="1446"/>
      <c r="H38" s="1446"/>
      <c r="I38" s="1446"/>
      <c r="J38" s="1446"/>
      <c r="K38" s="1446"/>
      <c r="L38" s="1446"/>
      <c r="M38" s="1446"/>
      <c r="N38" s="1446"/>
      <c r="O38" s="1446"/>
      <c r="P38" s="1446"/>
    </row>
    <row r="39" spans="3:16" s="1196" customFormat="1" ht="12.75" customHeight="1">
      <c r="C39" s="1211"/>
      <c r="D39" s="1211"/>
      <c r="E39" s="1203"/>
      <c r="F39" s="1203"/>
      <c r="G39" s="1203"/>
      <c r="H39" s="1203"/>
      <c r="I39" s="1203"/>
      <c r="J39" s="1203"/>
      <c r="K39" s="1203"/>
      <c r="L39" s="1203"/>
      <c r="M39" s="1203"/>
      <c r="N39" s="1203"/>
      <c r="O39" s="1203"/>
      <c r="P39" s="1203"/>
    </row>
    <row r="40" spans="3:16" s="1196" customFormat="1" ht="12.75" customHeight="1">
      <c r="C40" s="1212" t="s">
        <v>1043</v>
      </c>
      <c r="D40" s="1211"/>
      <c r="E40" s="1203"/>
      <c r="F40" s="1203"/>
      <c r="G40" s="1203"/>
      <c r="H40" s="1203"/>
      <c r="I40" s="1203"/>
      <c r="J40" s="1203"/>
      <c r="K40" s="1203"/>
      <c r="L40" s="1203"/>
      <c r="M40" s="1203"/>
      <c r="N40" s="1203"/>
      <c r="O40" s="1203"/>
      <c r="P40" s="1203"/>
    </row>
    <row r="41" spans="3:16" s="1196" customFormat="1" ht="12.75" customHeight="1">
      <c r="C41" s="1450" t="s">
        <v>519</v>
      </c>
      <c r="D41" s="1446"/>
      <c r="E41" s="1446"/>
      <c r="F41" s="1446"/>
      <c r="G41" s="1446"/>
      <c r="H41" s="1446"/>
      <c r="I41" s="1446"/>
      <c r="J41" s="1446"/>
      <c r="K41" s="1446"/>
      <c r="L41" s="1446"/>
      <c r="M41" s="1446"/>
      <c r="N41" s="1446"/>
      <c r="O41" s="1446"/>
      <c r="P41" s="1446"/>
    </row>
    <row r="42" spans="3:16" s="1196" customFormat="1" ht="12.75" customHeight="1">
      <c r="C42" s="1450"/>
      <c r="D42" s="1446"/>
      <c r="E42" s="1446"/>
      <c r="F42" s="1446"/>
      <c r="G42" s="1446"/>
      <c r="H42" s="1446"/>
      <c r="I42" s="1446"/>
      <c r="J42" s="1446"/>
      <c r="K42" s="1446"/>
      <c r="L42" s="1446"/>
      <c r="M42" s="1446"/>
      <c r="N42" s="1446"/>
      <c r="O42" s="1446"/>
      <c r="P42" s="1446"/>
    </row>
    <row r="43" spans="3:16" s="1196" customFormat="1" ht="6" customHeight="1">
      <c r="C43" s="1338"/>
      <c r="D43" s="1338"/>
      <c r="E43" s="1338"/>
      <c r="F43" s="1338"/>
      <c r="G43" s="1338"/>
      <c r="H43" s="1338"/>
      <c r="I43" s="1338"/>
      <c r="J43" s="1338"/>
      <c r="K43" s="1338"/>
      <c r="L43" s="1338"/>
      <c r="M43" s="1338"/>
      <c r="N43" s="1338"/>
      <c r="O43" s="1338"/>
      <c r="P43" s="1338"/>
    </row>
    <row r="44" spans="3:16" s="1196" customFormat="1" ht="12.75" customHeight="1">
      <c r="C44" s="1446" t="s">
        <v>478</v>
      </c>
      <c r="D44" s="1446"/>
      <c r="E44" s="1446"/>
      <c r="F44" s="1446"/>
      <c r="G44" s="1446"/>
      <c r="H44" s="1446"/>
      <c r="I44" s="1446"/>
      <c r="J44" s="1446"/>
      <c r="K44" s="1446"/>
      <c r="L44" s="1446"/>
      <c r="M44" s="1446"/>
      <c r="N44" s="1446"/>
      <c r="O44" s="1446"/>
      <c r="P44" s="1446"/>
    </row>
    <row r="45" spans="3:16" s="1196" customFormat="1" ht="12.75" customHeight="1">
      <c r="C45" s="1446"/>
      <c r="D45" s="1446"/>
      <c r="E45" s="1446"/>
      <c r="F45" s="1446"/>
      <c r="G45" s="1446"/>
      <c r="H45" s="1446"/>
      <c r="I45" s="1446"/>
      <c r="J45" s="1446"/>
      <c r="K45" s="1446"/>
      <c r="L45" s="1446"/>
      <c r="M45" s="1446"/>
      <c r="N45" s="1446"/>
      <c r="O45" s="1446"/>
      <c r="P45" s="1446"/>
    </row>
    <row r="46" spans="3:16" s="1196" customFormat="1" ht="12.75" customHeight="1">
      <c r="C46" s="1338"/>
      <c r="D46" s="1338"/>
      <c r="E46" s="1338"/>
      <c r="F46" s="1338"/>
      <c r="G46" s="1338"/>
      <c r="H46" s="1338"/>
      <c r="I46" s="1338"/>
      <c r="J46" s="1338"/>
      <c r="K46" s="1338"/>
      <c r="L46" s="1338"/>
      <c r="M46" s="1338"/>
      <c r="N46" s="1338"/>
      <c r="O46" s="1338"/>
      <c r="P46" s="1338"/>
    </row>
    <row r="47" spans="3:16" s="1196" customFormat="1" ht="12.75" customHeight="1">
      <c r="C47" s="1343" t="s">
        <v>1045</v>
      </c>
      <c r="D47" s="1338"/>
      <c r="E47" s="1338"/>
      <c r="F47" s="1338"/>
      <c r="G47" s="1338"/>
      <c r="H47" s="1338"/>
      <c r="I47" s="1338"/>
      <c r="J47" s="1338"/>
      <c r="K47" s="1338"/>
      <c r="L47" s="1338"/>
      <c r="M47" s="1338"/>
      <c r="N47" s="1338"/>
      <c r="O47" s="1338"/>
      <c r="P47" s="1338"/>
    </row>
    <row r="48" spans="3:16" s="1196" customFormat="1" ht="12.75" customHeight="1">
      <c r="C48" s="1446" t="s">
        <v>272</v>
      </c>
      <c r="D48" s="1446"/>
      <c r="E48" s="1446"/>
      <c r="F48" s="1446"/>
      <c r="G48" s="1446"/>
      <c r="H48" s="1446"/>
      <c r="I48" s="1446"/>
      <c r="J48" s="1446"/>
      <c r="K48" s="1446"/>
      <c r="L48" s="1446"/>
      <c r="M48" s="1446"/>
      <c r="N48" s="1446"/>
      <c r="O48" s="1446"/>
      <c r="P48" s="1446"/>
    </row>
    <row r="49" spans="3:16" s="1196" customFormat="1" ht="12.75" customHeight="1">
      <c r="C49" s="1446"/>
      <c r="D49" s="1446"/>
      <c r="E49" s="1446"/>
      <c r="F49" s="1446"/>
      <c r="G49" s="1446"/>
      <c r="H49" s="1446"/>
      <c r="I49" s="1446"/>
      <c r="J49" s="1446"/>
      <c r="K49" s="1446"/>
      <c r="L49" s="1446"/>
      <c r="M49" s="1446"/>
      <c r="N49" s="1446"/>
      <c r="O49" s="1446"/>
      <c r="P49" s="1446"/>
    </row>
    <row r="50" spans="3:16" s="1196" customFormat="1" ht="12.75" customHeight="1">
      <c r="C50" s="1446"/>
      <c r="D50" s="1446"/>
      <c r="E50" s="1446"/>
      <c r="F50" s="1446"/>
      <c r="G50" s="1446"/>
      <c r="H50" s="1446"/>
      <c r="I50" s="1446"/>
      <c r="J50" s="1446"/>
      <c r="K50" s="1446"/>
      <c r="L50" s="1446"/>
      <c r="M50" s="1446"/>
      <c r="N50" s="1446"/>
      <c r="O50" s="1446"/>
      <c r="P50" s="1446"/>
    </row>
    <row r="51" spans="3:16" s="1196" customFormat="1" ht="12.75" customHeight="1">
      <c r="C51" s="1446"/>
      <c r="D51" s="1446"/>
      <c r="E51" s="1446"/>
      <c r="F51" s="1446"/>
      <c r="G51" s="1446"/>
      <c r="H51" s="1446"/>
      <c r="I51" s="1446"/>
      <c r="J51" s="1446"/>
      <c r="K51" s="1446"/>
      <c r="L51" s="1446"/>
      <c r="M51" s="1446"/>
      <c r="N51" s="1446"/>
      <c r="O51" s="1446"/>
      <c r="P51" s="1446"/>
    </row>
    <row r="52" spans="3:16" s="1196" customFormat="1" ht="12.75" customHeight="1">
      <c r="C52" s="1338"/>
      <c r="D52" s="1338"/>
      <c r="E52" s="1338"/>
      <c r="F52" s="1338"/>
      <c r="G52" s="1338"/>
      <c r="H52" s="1338"/>
      <c r="I52" s="1338"/>
      <c r="J52" s="1338"/>
      <c r="K52" s="1338"/>
      <c r="L52" s="1338"/>
      <c r="M52" s="1338"/>
      <c r="N52" s="1338"/>
      <c r="O52" s="1338"/>
      <c r="P52" s="1338"/>
    </row>
    <row r="53" spans="3:16" s="1196" customFormat="1" ht="12.75" customHeight="1">
      <c r="C53" s="1343" t="s">
        <v>662</v>
      </c>
      <c r="D53" s="1338"/>
      <c r="E53" s="1338"/>
      <c r="F53" s="1338"/>
      <c r="G53" s="1338"/>
      <c r="H53" s="1338"/>
      <c r="I53" s="1338"/>
      <c r="J53" s="1338"/>
      <c r="K53" s="1338"/>
      <c r="L53" s="1338"/>
      <c r="M53" s="1338"/>
      <c r="N53" s="1338"/>
      <c r="O53" s="1338"/>
      <c r="P53" s="1338"/>
    </row>
    <row r="54" spans="3:16" s="1196" customFormat="1" ht="12.75" customHeight="1">
      <c r="C54" s="1450" t="s">
        <v>520</v>
      </c>
      <c r="D54" s="1446"/>
      <c r="E54" s="1446"/>
      <c r="F54" s="1446"/>
      <c r="G54" s="1446"/>
      <c r="H54" s="1446"/>
      <c r="I54" s="1446"/>
      <c r="J54" s="1446"/>
      <c r="K54" s="1446"/>
      <c r="L54" s="1446"/>
      <c r="M54" s="1446"/>
      <c r="N54" s="1446"/>
      <c r="O54" s="1446"/>
      <c r="P54" s="1446"/>
    </row>
    <row r="55" spans="3:16" s="1196" customFormat="1" ht="12.75" customHeight="1">
      <c r="C55" s="1450"/>
      <c r="D55" s="1446"/>
      <c r="E55" s="1446"/>
      <c r="F55" s="1446"/>
      <c r="G55" s="1446"/>
      <c r="H55" s="1446"/>
      <c r="I55" s="1446"/>
      <c r="J55" s="1446"/>
      <c r="K55" s="1446"/>
      <c r="L55" s="1446"/>
      <c r="M55" s="1446"/>
      <c r="N55" s="1446"/>
      <c r="O55" s="1446"/>
      <c r="P55" s="1446"/>
    </row>
    <row r="56" spans="3:16" s="1196" customFormat="1" ht="12.75" customHeight="1">
      <c r="C56" s="1338"/>
      <c r="D56" s="1338"/>
      <c r="E56" s="1338"/>
      <c r="F56" s="1338"/>
      <c r="G56" s="1338"/>
      <c r="H56" s="1338"/>
      <c r="I56" s="1338"/>
      <c r="J56" s="1338"/>
      <c r="K56" s="1338"/>
      <c r="L56" s="1338"/>
      <c r="M56" s="1338"/>
      <c r="N56" s="1338"/>
      <c r="O56" s="1338"/>
      <c r="P56" s="1338"/>
    </row>
    <row r="57" spans="3:16" s="1196" customFormat="1" ht="12.75" customHeight="1">
      <c r="C57" s="1343" t="s">
        <v>663</v>
      </c>
      <c r="D57" s="1338"/>
      <c r="E57" s="1338"/>
      <c r="F57" s="1338"/>
      <c r="G57" s="1338"/>
      <c r="H57" s="1338"/>
      <c r="I57" s="1338"/>
      <c r="J57" s="1338"/>
      <c r="K57" s="1338"/>
      <c r="L57" s="1338"/>
      <c r="M57" s="1338"/>
      <c r="N57" s="1338"/>
      <c r="O57" s="1338"/>
      <c r="P57" s="1338"/>
    </row>
    <row r="58" spans="3:16" s="1196" customFormat="1" ht="12.75" customHeight="1">
      <c r="C58" s="1446" t="s">
        <v>973</v>
      </c>
      <c r="D58" s="1446"/>
      <c r="E58" s="1446"/>
      <c r="F58" s="1446"/>
      <c r="G58" s="1446"/>
      <c r="H58" s="1446"/>
      <c r="I58" s="1446"/>
      <c r="J58" s="1446"/>
      <c r="K58" s="1446"/>
      <c r="L58" s="1446"/>
      <c r="M58" s="1446"/>
      <c r="N58" s="1446"/>
      <c r="O58" s="1446"/>
      <c r="P58" s="1446"/>
    </row>
    <row r="59" spans="3:16" s="1196" customFormat="1" ht="12.75" customHeight="1">
      <c r="C59" s="1446"/>
      <c r="D59" s="1446"/>
      <c r="E59" s="1446"/>
      <c r="F59" s="1446"/>
      <c r="G59" s="1446"/>
      <c r="H59" s="1446"/>
      <c r="I59" s="1446"/>
      <c r="J59" s="1446"/>
      <c r="K59" s="1446"/>
      <c r="L59" s="1446"/>
      <c r="M59" s="1446"/>
      <c r="N59" s="1446"/>
      <c r="O59" s="1446"/>
      <c r="P59" s="1446"/>
    </row>
    <row r="60" spans="3:16" s="1196" customFormat="1" ht="12.75" customHeight="1">
      <c r="C60" s="1212" t="s">
        <v>1121</v>
      </c>
      <c r="D60" s="1211"/>
      <c r="E60" s="601"/>
      <c r="F60" s="601"/>
      <c r="G60" s="601"/>
      <c r="H60" s="601"/>
      <c r="I60" s="601"/>
      <c r="J60" s="601"/>
      <c r="K60" s="601"/>
      <c r="L60" s="601"/>
      <c r="M60" s="601"/>
      <c r="N60" s="601"/>
      <c r="O60" s="601"/>
      <c r="P60" s="601"/>
    </row>
    <row r="61" spans="3:16" s="1196" customFormat="1" ht="12.75" customHeight="1">
      <c r="C61" s="1450" t="s">
        <v>516</v>
      </c>
      <c r="D61" s="1446"/>
      <c r="E61" s="1446"/>
      <c r="F61" s="1446"/>
      <c r="G61" s="1446"/>
      <c r="H61" s="1446"/>
      <c r="I61" s="1446"/>
      <c r="J61" s="1446"/>
      <c r="K61" s="1446"/>
      <c r="L61" s="1446"/>
      <c r="M61" s="1446"/>
      <c r="N61" s="1446"/>
      <c r="O61" s="1446"/>
      <c r="P61" s="1446"/>
    </row>
    <row r="62" spans="3:16" s="1196" customFormat="1" ht="12.75" customHeight="1">
      <c r="C62" s="1450"/>
      <c r="D62" s="1446"/>
      <c r="E62" s="1446"/>
      <c r="F62" s="1446"/>
      <c r="G62" s="1446"/>
      <c r="H62" s="1446"/>
      <c r="I62" s="1446"/>
      <c r="J62" s="1446"/>
      <c r="K62" s="1446"/>
      <c r="L62" s="1446"/>
      <c r="M62" s="1446"/>
      <c r="N62" s="1446"/>
      <c r="O62" s="1446"/>
      <c r="P62" s="1446"/>
    </row>
    <row r="63" spans="3:16" s="1196" customFormat="1" ht="12.75" customHeight="1">
      <c r="C63" s="1446"/>
      <c r="D63" s="1446"/>
      <c r="E63" s="1446"/>
      <c r="F63" s="1446"/>
      <c r="G63" s="1446"/>
      <c r="H63" s="1446"/>
      <c r="I63" s="1446"/>
      <c r="J63" s="1446"/>
      <c r="K63" s="1446"/>
      <c r="L63" s="1446"/>
      <c r="M63" s="1446"/>
      <c r="N63" s="1446"/>
      <c r="O63" s="1446"/>
      <c r="P63" s="1446"/>
    </row>
    <row r="64" spans="3:16" s="1196" customFormat="1" ht="6.75" customHeight="1">
      <c r="C64" s="1335"/>
      <c r="D64" s="1335"/>
      <c r="E64" s="1335"/>
      <c r="F64" s="1335"/>
      <c r="G64" s="1335"/>
      <c r="H64" s="1335"/>
      <c r="I64" s="1335"/>
      <c r="J64" s="1335"/>
      <c r="K64" s="1335"/>
      <c r="L64" s="1335"/>
      <c r="M64" s="1335"/>
      <c r="N64" s="1335"/>
      <c r="O64" s="1335"/>
      <c r="P64" s="1335"/>
    </row>
    <row r="65" spans="3:16" s="1196" customFormat="1" ht="12.75" customHeight="1">
      <c r="C65" s="1451" t="s">
        <v>517</v>
      </c>
      <c r="D65" s="1451"/>
      <c r="E65" s="1451"/>
      <c r="F65" s="1451"/>
      <c r="G65" s="1451"/>
      <c r="H65" s="1451"/>
      <c r="I65" s="1451"/>
      <c r="J65" s="1451"/>
      <c r="K65" s="1451"/>
      <c r="L65" s="1451"/>
      <c r="M65" s="1451"/>
      <c r="N65" s="1451"/>
      <c r="O65" s="1451"/>
      <c r="P65" s="1451"/>
    </row>
    <row r="66" spans="3:16" s="1196" customFormat="1" ht="12.75" customHeight="1">
      <c r="C66" s="1451"/>
      <c r="D66" s="1451"/>
      <c r="E66" s="1451"/>
      <c r="F66" s="1451"/>
      <c r="G66" s="1451"/>
      <c r="H66" s="1451"/>
      <c r="I66" s="1451"/>
      <c r="J66" s="1451"/>
      <c r="K66" s="1451"/>
      <c r="L66" s="1451"/>
      <c r="M66" s="1451"/>
      <c r="N66" s="1451"/>
      <c r="O66" s="1451"/>
      <c r="P66" s="1451"/>
    </row>
    <row r="67" spans="3:16" s="1196" customFormat="1" ht="12.75" customHeight="1">
      <c r="C67" s="1451"/>
      <c r="D67" s="1451"/>
      <c r="E67" s="1451"/>
      <c r="F67" s="1451"/>
      <c r="G67" s="1451"/>
      <c r="H67" s="1451"/>
      <c r="I67" s="1451"/>
      <c r="J67" s="1451"/>
      <c r="K67" s="1451"/>
      <c r="L67" s="1451"/>
      <c r="M67" s="1451"/>
      <c r="N67" s="1451"/>
      <c r="O67" s="1451"/>
      <c r="P67" s="1451"/>
    </row>
    <row r="68" spans="3:16" s="1028" customFormat="1" ht="12.75" customHeight="1">
      <c r="C68" s="1030"/>
      <c r="D68" s="1030"/>
      <c r="E68" s="1031"/>
      <c r="F68" s="1031"/>
      <c r="G68" s="1031"/>
      <c r="H68" s="1031"/>
      <c r="I68" s="1031"/>
      <c r="J68" s="1031"/>
      <c r="K68" s="1031"/>
      <c r="L68" s="1031"/>
      <c r="M68" s="1031"/>
      <c r="N68" s="1031"/>
      <c r="O68" s="1031"/>
      <c r="P68" s="1031"/>
    </row>
    <row r="69" spans="3:16" s="1028" customFormat="1" ht="12.75" customHeight="1">
      <c r="C69" s="1029"/>
      <c r="D69" s="1029"/>
    </row>
    <row r="70" spans="3:16" s="1028" customFormat="1" ht="12.75" customHeight="1">
      <c r="C70" s="1455" t="s">
        <v>11</v>
      </c>
      <c r="D70" s="1455"/>
      <c r="E70" s="1455"/>
      <c r="F70" s="1455"/>
      <c r="G70" s="1455"/>
      <c r="H70" s="1455"/>
      <c r="I70" s="1455"/>
      <c r="J70" s="1455"/>
      <c r="K70" s="1455"/>
      <c r="L70" s="1455"/>
      <c r="M70" s="1455"/>
      <c r="N70" s="1455"/>
      <c r="O70" s="1455"/>
      <c r="P70" s="1455"/>
    </row>
    <row r="71" spans="3:16" s="1028" customFormat="1" ht="12.75" customHeight="1">
      <c r="C71" s="1455"/>
      <c r="D71" s="1455"/>
      <c r="E71" s="1455"/>
      <c r="F71" s="1455"/>
      <c r="G71" s="1455"/>
      <c r="H71" s="1455"/>
      <c r="I71" s="1455"/>
      <c r="J71" s="1455"/>
      <c r="K71" s="1455"/>
      <c r="L71" s="1455"/>
      <c r="M71" s="1455"/>
      <c r="N71" s="1455"/>
      <c r="O71" s="1455"/>
      <c r="P71" s="1455"/>
    </row>
    <row r="72" spans="3:16" s="1028" customFormat="1" ht="12.75" customHeight="1">
      <c r="C72" s="1455"/>
      <c r="D72" s="1455"/>
      <c r="E72" s="1455"/>
      <c r="F72" s="1455"/>
      <c r="G72" s="1455"/>
      <c r="H72" s="1455"/>
      <c r="I72" s="1455"/>
      <c r="J72" s="1455"/>
      <c r="K72" s="1455"/>
      <c r="L72" s="1455"/>
      <c r="M72" s="1455"/>
      <c r="N72" s="1455"/>
      <c r="O72" s="1455"/>
      <c r="P72" s="1455"/>
    </row>
    <row r="73" spans="3:16" s="1028" customFormat="1" ht="12.75" customHeight="1">
      <c r="C73" s="1455"/>
      <c r="D73" s="1455"/>
      <c r="E73" s="1455"/>
      <c r="F73" s="1455"/>
      <c r="G73" s="1455"/>
      <c r="H73" s="1455"/>
      <c r="I73" s="1455"/>
      <c r="J73" s="1455"/>
      <c r="K73" s="1455"/>
      <c r="L73" s="1455"/>
      <c r="M73" s="1455"/>
      <c r="N73" s="1455"/>
      <c r="O73" s="1455"/>
      <c r="P73" s="1455"/>
    </row>
    <row r="74" spans="3:16" ht="12.75" customHeight="1">
      <c r="C74" s="1455"/>
      <c r="D74" s="1455"/>
      <c r="E74" s="1455"/>
      <c r="F74" s="1455"/>
      <c r="G74" s="1455"/>
      <c r="H74" s="1455"/>
      <c r="I74" s="1455"/>
      <c r="J74" s="1455"/>
      <c r="K74" s="1455"/>
      <c r="L74" s="1455"/>
      <c r="M74" s="1455"/>
      <c r="N74" s="1455"/>
      <c r="O74" s="1455"/>
      <c r="P74" s="1455"/>
    </row>
    <row r="75" spans="3:16" ht="12.75" customHeight="1">
      <c r="C75" s="1454"/>
      <c r="D75" s="1454"/>
      <c r="E75" s="1454"/>
      <c r="F75" s="228"/>
      <c r="G75" s="228"/>
      <c r="H75" s="1456" t="str">
        <f>page_prefix &amp; page_About &amp;page_suffix</f>
        <v>- Page 1 -</v>
      </c>
      <c r="I75" s="1456"/>
      <c r="J75" s="1456"/>
      <c r="K75" s="1456"/>
      <c r="L75" s="1457"/>
      <c r="M75" s="228"/>
      <c r="N75" s="228"/>
      <c r="O75" s="1453" t="str">
        <f>back_to_top</f>
        <v>Back to top</v>
      </c>
      <c r="P75" s="1453"/>
    </row>
    <row r="76" spans="3:16" ht="12.75" customHeight="1">
      <c r="C76" s="605"/>
      <c r="D76" s="605"/>
      <c r="E76" s="228"/>
      <c r="F76" s="228"/>
      <c r="G76" s="228"/>
      <c r="H76" s="1456" t="str">
        <f>copyright</f>
        <v>Copyright (c) 2009 Tykoh Group Pty Limited</v>
      </c>
      <c r="I76" s="1456"/>
      <c r="J76" s="1456"/>
      <c r="K76" s="1456"/>
      <c r="L76" s="1457"/>
      <c r="M76" s="228"/>
      <c r="N76" s="228"/>
      <c r="O76" s="228"/>
      <c r="P76" s="228"/>
    </row>
    <row r="77" spans="3:16" ht="12.75" customHeight="1">
      <c r="H77" s="1452" t="str">
        <f>home_address</f>
        <v>www.tykoh.com</v>
      </c>
      <c r="I77" s="1452"/>
      <c r="J77" s="1452"/>
      <c r="K77" s="1452"/>
      <c r="L77" s="1452"/>
    </row>
    <row r="78" spans="3:16" ht="12.75" customHeight="1">
      <c r="P78" s="770">
        <v>1.02</v>
      </c>
    </row>
    <row r="79" spans="3:16" ht="12.75" hidden="1" customHeight="1">
      <c r="L79" s="83"/>
      <c r="M79" s="83"/>
      <c r="N79" s="606"/>
    </row>
    <row r="80" spans="3:16" ht="12.75" hidden="1" customHeight="1"/>
    <row r="81" ht="12.75" hidden="1" customHeight="1"/>
    <row r="82" ht="12.75" hidden="1" customHeight="1"/>
    <row r="83" ht="12.75" hidden="1" customHeight="1"/>
    <row r="84" ht="12.75" hidden="1" customHeight="1"/>
    <row r="85" ht="12.75" hidden="1" customHeight="1"/>
    <row r="86" ht="12.75" hidden="1" customHeight="1"/>
    <row r="87" ht="12.75" hidden="1" customHeight="1"/>
    <row r="88" ht="12.75" hidden="1" customHeight="1"/>
    <row r="89" ht="12.75" hidden="1" customHeight="1"/>
    <row r="90" ht="12.75" hidden="1" customHeight="1"/>
    <row r="91" ht="12.75" hidden="1" customHeight="1"/>
    <row r="92" ht="12.75" hidden="1" customHeight="1"/>
    <row r="93" ht="12.75" hidden="1" customHeight="1"/>
    <row r="94" ht="12.75" hidden="1" customHeight="1"/>
    <row r="95" ht="12.75" hidden="1" customHeight="1"/>
    <row r="96" ht="12.75" hidden="1" customHeight="1"/>
    <row r="97" ht="12.75" hidden="1" customHeight="1"/>
    <row r="98" ht="12.75" hidden="1" customHeight="1"/>
    <row r="99" ht="12.75" hidden="1" customHeight="1"/>
    <row r="100" ht="12.75" hidden="1" customHeight="1"/>
    <row r="101" ht="12.75" hidden="1" customHeight="1"/>
    <row r="102" ht="12.75" hidden="1" customHeight="1"/>
    <row r="103" ht="12.75" hidden="1" customHeight="1"/>
    <row r="104" ht="12.75" hidden="1" customHeight="1"/>
    <row r="105" ht="12.75" hidden="1" customHeight="1"/>
    <row r="106" ht="12.75" hidden="1"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sheetData>
  <sheetProtection algorithmName="SHA-512" hashValue="/ObCC+WaI8Iz3OutmUQuQ6GfFu1Zk2+wfuY0NFhWnTvyB5d9rgrdfOHEGMAHLlrUyq2DWNvOiSd/fQt2+R2OoA==" saltValue="vlgGXa7hmeQDGnWV+2ZtJg==" spinCount="100000" sheet="1" objects="1" scenarios="1"/>
  <mergeCells count="21">
    <mergeCell ref="H2:L2"/>
    <mergeCell ref="H75:L75"/>
    <mergeCell ref="C10:P11"/>
    <mergeCell ref="C4:P6"/>
    <mergeCell ref="C7:P8"/>
    <mergeCell ref="H77:L77"/>
    <mergeCell ref="O75:P75"/>
    <mergeCell ref="C75:E75"/>
    <mergeCell ref="C70:P74"/>
    <mergeCell ref="H76:L76"/>
    <mergeCell ref="C65:P67"/>
    <mergeCell ref="C61:P63"/>
    <mergeCell ref="C58:P59"/>
    <mergeCell ref="C34:P38"/>
    <mergeCell ref="C41:P42"/>
    <mergeCell ref="C44:P45"/>
    <mergeCell ref="C48:P51"/>
    <mergeCell ref="E17:P18"/>
    <mergeCell ref="C28:P30"/>
    <mergeCell ref="E20:P21"/>
    <mergeCell ref="C54:P55"/>
  </mergeCells>
  <phoneticPr fontId="2" type="noConversion"/>
  <hyperlinks>
    <hyperlink ref="O75:P75" location="hh_about" display="hh_about" xr:uid="{00000000-0004-0000-0000-000000000000}"/>
    <hyperlink ref="C75:E75" location="hh_index" display="hh_index" xr:uid="{00000000-0004-0000-0000-000001000000}"/>
    <hyperlink ref="H77:L77" r:id="rId1" display="https://www.tykoh.com/" xr:uid="{00000000-0004-0000-0000-000002000000}"/>
  </hyperlinks>
  <pageMargins left="0.75" right="0.75" top="1" bottom="1" header="0.5" footer="0.5"/>
  <pageSetup scale="72"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Y80"/>
  <sheetViews>
    <sheetView showGridLines="0" showRowColHeaders="0" workbookViewId="0"/>
  </sheetViews>
  <sheetFormatPr defaultColWidth="0" defaultRowHeight="12.5" zeroHeight="1"/>
  <cols>
    <col min="1" max="3" width="1" style="32" customWidth="1"/>
    <col min="4" max="5" width="7.7265625" style="32" customWidth="1"/>
    <col min="6" max="6" width="8.54296875" style="32" customWidth="1"/>
    <col min="7" max="7" width="6.81640625" style="32" customWidth="1"/>
    <col min="8" max="23" width="5.1796875" style="32" customWidth="1"/>
    <col min="24" max="24" width="4.7265625" style="125" customWidth="1"/>
    <col min="25" max="25" width="1.81640625" style="32" customWidth="1"/>
    <col min="26" max="16384" width="0" style="32" hidden="1"/>
  </cols>
  <sheetData>
    <row r="1" spans="3:25">
      <c r="D1" s="33"/>
      <c r="E1" s="33"/>
      <c r="F1" s="33"/>
      <c r="G1" s="33"/>
      <c r="H1" s="33"/>
      <c r="I1" s="33"/>
      <c r="J1" s="33"/>
      <c r="K1" s="33"/>
      <c r="L1" s="33"/>
      <c r="M1" s="33"/>
      <c r="N1" s="33"/>
      <c r="O1" s="33"/>
      <c r="P1" s="33"/>
      <c r="Q1" s="33"/>
      <c r="R1" s="33"/>
      <c r="S1" s="33"/>
      <c r="T1" s="33"/>
      <c r="U1" s="33"/>
      <c r="V1" s="33"/>
      <c r="W1" s="33"/>
      <c r="X1" s="80"/>
      <c r="Y1" s="33"/>
    </row>
    <row r="2" spans="3:25">
      <c r="C2" s="103"/>
      <c r="D2" s="103"/>
      <c r="E2" s="103"/>
      <c r="F2" s="103"/>
      <c r="G2" s="103"/>
      <c r="H2" s="103"/>
      <c r="I2" s="103"/>
      <c r="J2" s="1494"/>
      <c r="K2" s="1494"/>
      <c r="L2" s="1494"/>
      <c r="M2" s="1494"/>
      <c r="N2" s="1494"/>
      <c r="O2" s="1494"/>
      <c r="P2" s="1494"/>
      <c r="Q2" s="103"/>
      <c r="R2" s="103"/>
      <c r="S2" s="103"/>
      <c r="T2" s="103"/>
      <c r="U2" s="103"/>
      <c r="V2" s="103"/>
      <c r="W2" s="103"/>
      <c r="X2" s="269"/>
      <c r="Y2" s="33"/>
    </row>
    <row r="3" spans="3:25" ht="16" thickBot="1">
      <c r="C3" s="99" t="s">
        <v>250</v>
      </c>
      <c r="E3" s="33"/>
      <c r="F3" s="33"/>
      <c r="G3" s="33"/>
      <c r="H3" s="33"/>
      <c r="I3" s="33"/>
      <c r="J3" s="33"/>
      <c r="K3" s="33"/>
      <c r="L3" s="33"/>
      <c r="M3" s="33"/>
      <c r="N3" s="33"/>
      <c r="O3" s="33"/>
      <c r="P3" s="33"/>
      <c r="Q3" s="33"/>
      <c r="R3" s="33"/>
      <c r="S3" s="33"/>
      <c r="T3" s="33"/>
      <c r="U3" s="33"/>
      <c r="V3" s="33"/>
      <c r="W3" s="33"/>
      <c r="X3" s="80"/>
      <c r="Y3" s="33"/>
    </row>
    <row r="4" spans="3:25" ht="13" thickTop="1">
      <c r="D4" s="33"/>
      <c r="E4" s="33"/>
      <c r="F4" s="33"/>
      <c r="G4" s="33"/>
      <c r="H4" s="33"/>
      <c r="I4" s="33"/>
      <c r="J4" s="33"/>
      <c r="K4" s="33"/>
      <c r="L4" s="33"/>
      <c r="M4" s="33"/>
      <c r="N4" s="33"/>
      <c r="O4" s="33"/>
      <c r="P4" s="33"/>
      <c r="Q4" s="33"/>
      <c r="R4" s="33"/>
      <c r="S4" s="1521" t="str">
        <f ca="1">OFFSET(ad_first,OFFSET(ads_top,ROW(ads_ratesensitising)-1,1),0)</f>
        <v>Learn how to choose the best function to solve a problem when several functions are available by attending one of our workshops.</v>
      </c>
      <c r="T4" s="1522"/>
      <c r="U4" s="1522"/>
      <c r="V4" s="1562"/>
      <c r="W4" s="1562"/>
      <c r="X4" s="1563"/>
      <c r="Y4" s="33"/>
    </row>
    <row r="5" spans="3:25" ht="13">
      <c r="C5" s="79" t="s">
        <v>140</v>
      </c>
      <c r="E5" s="33"/>
      <c r="F5" s="33"/>
      <c r="G5" s="33"/>
      <c r="H5" s="33"/>
      <c r="I5" s="33"/>
      <c r="J5" s="33"/>
      <c r="K5" s="33"/>
      <c r="L5" s="33"/>
      <c r="M5" s="33"/>
      <c r="N5" s="33"/>
      <c r="O5" s="33"/>
      <c r="P5" s="33"/>
      <c r="Q5" s="33"/>
      <c r="R5" s="33"/>
      <c r="S5" s="1524"/>
      <c r="T5" s="1525"/>
      <c r="U5" s="1525"/>
      <c r="V5" s="1564"/>
      <c r="W5" s="1564"/>
      <c r="X5" s="1565"/>
      <c r="Y5" s="33"/>
    </row>
    <row r="6" spans="3:25">
      <c r="C6" s="1569" t="s">
        <v>246</v>
      </c>
      <c r="D6" s="1518"/>
      <c r="E6" s="1518"/>
      <c r="F6" s="1518"/>
      <c r="G6" s="1518"/>
      <c r="H6" s="1518"/>
      <c r="I6" s="1518"/>
      <c r="J6" s="1518"/>
      <c r="K6" s="1518"/>
      <c r="L6" s="1518"/>
      <c r="M6" s="1518"/>
      <c r="N6" s="1518"/>
      <c r="O6" s="1518"/>
      <c r="P6" s="1518"/>
      <c r="Q6" s="1518"/>
      <c r="R6" s="33"/>
      <c r="S6" s="1524"/>
      <c r="T6" s="1525"/>
      <c r="U6" s="1525"/>
      <c r="V6" s="1564"/>
      <c r="W6" s="1564"/>
      <c r="X6" s="1565"/>
      <c r="Y6" s="33"/>
    </row>
    <row r="7" spans="3:25">
      <c r="C7" s="1518"/>
      <c r="D7" s="1518"/>
      <c r="E7" s="1518"/>
      <c r="F7" s="1518"/>
      <c r="G7" s="1518"/>
      <c r="H7" s="1518"/>
      <c r="I7" s="1518"/>
      <c r="J7" s="1518"/>
      <c r="K7" s="1518"/>
      <c r="L7" s="1518"/>
      <c r="M7" s="1518"/>
      <c r="N7" s="1518"/>
      <c r="O7" s="1518"/>
      <c r="P7" s="1518"/>
      <c r="Q7" s="1518"/>
      <c r="R7" s="33"/>
      <c r="S7" s="1524"/>
      <c r="T7" s="1525"/>
      <c r="U7" s="1525"/>
      <c r="V7" s="1564"/>
      <c r="W7" s="1564"/>
      <c r="X7" s="1565"/>
      <c r="Y7" s="33"/>
    </row>
    <row r="8" spans="3:25" ht="13" thickBot="1">
      <c r="C8" s="1518"/>
      <c r="D8" s="1518"/>
      <c r="E8" s="1518"/>
      <c r="F8" s="1518"/>
      <c r="G8" s="1518"/>
      <c r="H8" s="1518"/>
      <c r="I8" s="1518"/>
      <c r="J8" s="1518"/>
      <c r="K8" s="1518"/>
      <c r="L8" s="1518"/>
      <c r="M8" s="1518"/>
      <c r="N8" s="1518"/>
      <c r="O8" s="1518"/>
      <c r="P8" s="1518"/>
      <c r="Q8" s="1518"/>
      <c r="R8" s="33"/>
      <c r="S8" s="1527"/>
      <c r="T8" s="1528"/>
      <c r="U8" s="1528"/>
      <c r="V8" s="1566"/>
      <c r="W8" s="1566"/>
      <c r="X8" s="1567"/>
      <c r="Y8" s="33"/>
    </row>
    <row r="9" spans="3:25" ht="13.5" thickTop="1">
      <c r="C9" s="79"/>
      <c r="E9" s="33"/>
      <c r="F9" s="33"/>
      <c r="G9" s="33"/>
      <c r="H9" s="33"/>
      <c r="I9" s="33"/>
      <c r="J9" s="33"/>
      <c r="K9" s="33"/>
      <c r="L9" s="33"/>
      <c r="M9" s="33"/>
      <c r="N9" s="33"/>
      <c r="O9" s="33"/>
      <c r="P9" s="33"/>
      <c r="Q9" s="33"/>
      <c r="R9" s="33"/>
      <c r="S9" s="1314"/>
      <c r="T9" s="1314"/>
      <c r="U9" s="1314"/>
      <c r="V9" s="1317"/>
      <c r="W9" s="1317"/>
      <c r="X9" s="1317"/>
      <c r="Y9" s="33"/>
    </row>
    <row r="10" spans="3:25" ht="12.75" customHeight="1">
      <c r="C10" s="1568" t="s">
        <v>247</v>
      </c>
      <c r="D10" s="1518"/>
      <c r="E10" s="1518"/>
      <c r="F10" s="1518"/>
      <c r="G10" s="1518"/>
      <c r="H10" s="1518"/>
      <c r="I10" s="1518"/>
      <c r="J10" s="1518"/>
      <c r="K10" s="1518"/>
      <c r="L10" s="1518"/>
      <c r="M10" s="1518"/>
      <c r="N10" s="1518"/>
      <c r="O10" s="1518"/>
      <c r="P10" s="1518"/>
      <c r="Q10" s="1518"/>
      <c r="R10" s="1518"/>
      <c r="S10" s="1518"/>
      <c r="T10" s="1518"/>
      <c r="U10" s="1518"/>
      <c r="V10" s="1518"/>
      <c r="W10" s="1518"/>
      <c r="X10" s="1518"/>
      <c r="Y10" s="33"/>
    </row>
    <row r="11" spans="3:25" ht="3.75" customHeight="1">
      <c r="C11" s="1518"/>
      <c r="D11" s="1518"/>
      <c r="E11" s="1518"/>
      <c r="F11" s="1518"/>
      <c r="G11" s="1518"/>
      <c r="H11" s="1518"/>
      <c r="I11" s="1518"/>
      <c r="J11" s="1518"/>
      <c r="K11" s="1518"/>
      <c r="L11" s="1518"/>
      <c r="M11" s="1518"/>
      <c r="N11" s="1518"/>
      <c r="O11" s="1518"/>
      <c r="P11" s="1518"/>
      <c r="Q11" s="1518"/>
      <c r="R11" s="1518"/>
      <c r="S11" s="1518"/>
      <c r="T11" s="1518"/>
      <c r="U11" s="1518"/>
      <c r="V11" s="1518"/>
      <c r="W11" s="1518"/>
      <c r="X11" s="1518"/>
      <c r="Y11" s="33"/>
    </row>
    <row r="12" spans="3:25">
      <c r="C12" s="573" t="s">
        <v>361</v>
      </c>
      <c r="D12" s="33" t="s">
        <v>285</v>
      </c>
      <c r="E12" s="33"/>
      <c r="F12" s="33"/>
      <c r="G12" s="33"/>
      <c r="H12" s="33"/>
      <c r="I12" s="33"/>
      <c r="J12" s="33"/>
      <c r="K12" s="33"/>
      <c r="L12" s="33"/>
      <c r="M12" s="33"/>
      <c r="N12" s="33"/>
      <c r="O12" s="33"/>
      <c r="P12" s="33"/>
      <c r="Q12" s="33"/>
      <c r="R12" s="33"/>
      <c r="S12" s="1310"/>
      <c r="T12" s="1311"/>
      <c r="U12" s="1311"/>
      <c r="V12" s="1320"/>
      <c r="W12" s="1320"/>
      <c r="X12" s="1320"/>
      <c r="Y12" s="33"/>
    </row>
    <row r="13" spans="3:25" ht="3.75" customHeight="1">
      <c r="C13" s="573"/>
      <c r="D13" s="33"/>
      <c r="E13" s="33"/>
      <c r="F13" s="33"/>
      <c r="G13" s="33"/>
      <c r="H13" s="33"/>
      <c r="I13" s="33"/>
      <c r="J13" s="33"/>
      <c r="K13" s="33"/>
      <c r="L13" s="33"/>
      <c r="M13" s="33"/>
      <c r="N13" s="33"/>
      <c r="O13" s="33"/>
      <c r="P13" s="33"/>
      <c r="Q13" s="33"/>
      <c r="R13" s="33"/>
      <c r="S13" s="1310"/>
      <c r="T13" s="1311"/>
      <c r="U13" s="1311"/>
      <c r="V13" s="1320"/>
      <c r="W13" s="1320"/>
      <c r="X13" s="1320"/>
      <c r="Y13" s="33"/>
    </row>
    <row r="14" spans="3:25">
      <c r="C14" s="573" t="s">
        <v>361</v>
      </c>
      <c r="D14" s="33" t="s">
        <v>286</v>
      </c>
      <c r="E14" s="33"/>
      <c r="F14" s="33"/>
      <c r="G14" s="33"/>
      <c r="H14" s="33"/>
      <c r="I14" s="33"/>
      <c r="J14" s="33"/>
      <c r="K14" s="33"/>
      <c r="L14" s="33"/>
      <c r="M14" s="33"/>
      <c r="N14" s="33"/>
      <c r="O14" s="33"/>
      <c r="P14" s="33"/>
      <c r="Q14" s="33"/>
      <c r="R14" s="33"/>
      <c r="S14" s="1319"/>
      <c r="T14" s="1319"/>
      <c r="U14" s="1319"/>
      <c r="V14" s="1319"/>
      <c r="W14" s="1319"/>
      <c r="X14" s="1319"/>
      <c r="Y14" s="33"/>
    </row>
    <row r="15" spans="3:25" ht="3.75" customHeight="1">
      <c r="C15" s="573"/>
      <c r="D15" s="33"/>
      <c r="E15" s="33"/>
      <c r="F15" s="33"/>
      <c r="G15" s="33"/>
      <c r="H15" s="33"/>
      <c r="I15" s="33"/>
      <c r="J15" s="33"/>
      <c r="K15" s="33"/>
      <c r="L15" s="33"/>
      <c r="M15" s="33"/>
      <c r="N15" s="33"/>
      <c r="O15" s="33"/>
      <c r="P15" s="33"/>
      <c r="Q15" s="33"/>
      <c r="R15" s="33"/>
      <c r="S15" s="1319"/>
      <c r="T15" s="1319"/>
      <c r="U15" s="1319"/>
      <c r="V15" s="1319"/>
      <c r="W15" s="1319"/>
      <c r="X15" s="1319"/>
      <c r="Y15" s="33"/>
    </row>
    <row r="16" spans="3:25">
      <c r="C16" s="573" t="s">
        <v>361</v>
      </c>
      <c r="D16" s="1568" t="s">
        <v>248</v>
      </c>
      <c r="E16" s="1518"/>
      <c r="F16" s="1518"/>
      <c r="G16" s="1518"/>
      <c r="H16" s="1518"/>
      <c r="I16" s="1518"/>
      <c r="J16" s="1518"/>
      <c r="K16" s="1518"/>
      <c r="L16" s="1518"/>
      <c r="M16" s="1518"/>
      <c r="N16" s="1518"/>
      <c r="O16" s="1518"/>
      <c r="P16" s="1518"/>
      <c r="Q16" s="1518"/>
      <c r="R16" s="1518"/>
      <c r="S16" s="1518"/>
      <c r="T16" s="1518"/>
      <c r="U16" s="1518"/>
      <c r="V16" s="1518"/>
      <c r="W16" s="1518"/>
      <c r="X16" s="1518"/>
      <c r="Y16" s="33"/>
    </row>
    <row r="17" spans="1:25">
      <c r="D17" s="1518"/>
      <c r="E17" s="1518"/>
      <c r="F17" s="1518"/>
      <c r="G17" s="1518"/>
      <c r="H17" s="1518"/>
      <c r="I17" s="1518"/>
      <c r="J17" s="1518"/>
      <c r="K17" s="1518"/>
      <c r="L17" s="1518"/>
      <c r="M17" s="1518"/>
      <c r="N17" s="1518"/>
      <c r="O17" s="1518"/>
      <c r="P17" s="1518"/>
      <c r="Q17" s="1518"/>
      <c r="R17" s="1518"/>
      <c r="S17" s="1518"/>
      <c r="T17" s="1518"/>
      <c r="U17" s="1518"/>
      <c r="V17" s="1518"/>
      <c r="W17" s="1518"/>
      <c r="X17" s="1518"/>
      <c r="Y17" s="33"/>
    </row>
    <row r="18" spans="1:25">
      <c r="D18" s="33"/>
      <c r="E18" s="33"/>
      <c r="F18" s="33"/>
      <c r="G18" s="33"/>
      <c r="H18" s="33"/>
      <c r="I18" s="33"/>
      <c r="J18" s="33"/>
      <c r="K18" s="33"/>
      <c r="L18" s="33"/>
      <c r="M18" s="33"/>
      <c r="N18" s="33"/>
      <c r="O18" s="33"/>
      <c r="P18" s="33"/>
      <c r="Q18" s="33"/>
      <c r="R18" s="33"/>
      <c r="S18" s="33"/>
      <c r="T18" s="33"/>
      <c r="U18" s="33"/>
      <c r="V18" s="33"/>
      <c r="W18" s="33"/>
      <c r="X18" s="80"/>
      <c r="Y18" s="33"/>
    </row>
    <row r="19" spans="1:25" ht="13">
      <c r="C19" s="128" t="str">
        <f>functions_used</f>
        <v>Spreadsheet functions used in this example</v>
      </c>
      <c r="E19" s="80"/>
      <c r="F19" s="80"/>
      <c r="G19" s="80"/>
      <c r="H19" s="80"/>
      <c r="I19" s="80"/>
      <c r="J19" s="80"/>
      <c r="K19" s="80"/>
      <c r="L19" s="80"/>
      <c r="M19" s="80"/>
      <c r="N19" s="80"/>
      <c r="O19" s="80"/>
      <c r="P19" s="80"/>
      <c r="Q19" s="80"/>
      <c r="R19" s="80"/>
      <c r="S19" s="80"/>
      <c r="T19" s="80"/>
      <c r="U19" s="80"/>
      <c r="V19" s="80"/>
      <c r="W19" s="80"/>
      <c r="X19" s="80"/>
      <c r="Y19" s="33"/>
    </row>
    <row r="20" spans="1:25">
      <c r="C20" s="80" t="str">
        <f>functions_ratesensitising</f>
        <v>Arrays, Data Table, IF, MATCH, MAX, MOD, OFFSET, RIGHT, ROW, SUM</v>
      </c>
      <c r="E20" s="80"/>
      <c r="F20" s="80"/>
      <c r="G20" s="80"/>
      <c r="H20" s="80"/>
      <c r="I20" s="80"/>
      <c r="J20" s="80"/>
      <c r="K20" s="80"/>
      <c r="L20" s="80"/>
      <c r="M20" s="80"/>
      <c r="N20" s="80"/>
      <c r="O20" s="80"/>
      <c r="P20" s="80"/>
      <c r="Q20" s="80"/>
      <c r="R20" s="80"/>
      <c r="S20" s="80"/>
      <c r="T20" s="80"/>
      <c r="U20" s="80"/>
      <c r="V20" s="80"/>
      <c r="W20" s="80"/>
      <c r="X20" s="80"/>
      <c r="Y20" s="33"/>
    </row>
    <row r="21" spans="1:25">
      <c r="D21" s="33"/>
      <c r="E21" s="33"/>
      <c r="F21" s="33"/>
      <c r="G21" s="33"/>
      <c r="H21" s="33"/>
      <c r="I21" s="33"/>
      <c r="J21" s="97"/>
      <c r="K21" s="97"/>
      <c r="L21" s="33"/>
      <c r="M21" s="33"/>
      <c r="N21" s="33"/>
      <c r="O21" s="33"/>
      <c r="P21" s="33"/>
      <c r="Q21" s="33"/>
      <c r="R21" s="33"/>
      <c r="S21" s="33"/>
      <c r="T21" s="33"/>
      <c r="U21" s="33"/>
      <c r="V21" s="33"/>
      <c r="W21" s="33"/>
      <c r="X21" s="80"/>
      <c r="Y21" s="33"/>
    </row>
    <row r="22" spans="1:25">
      <c r="D22" s="1553" t="s">
        <v>759</v>
      </c>
      <c r="E22" s="1554"/>
      <c r="F22" s="1554"/>
      <c r="G22" s="1554"/>
      <c r="H22" s="1554"/>
      <c r="I22" s="1554"/>
      <c r="J22" s="1554"/>
      <c r="K22" s="1554"/>
      <c r="L22" s="1554"/>
      <c r="M22" s="1554"/>
      <c r="N22" s="1554"/>
      <c r="O22" s="1554"/>
      <c r="P22" s="1554"/>
      <c r="Q22" s="1554"/>
      <c r="R22" s="1554"/>
      <c r="S22" s="1554"/>
      <c r="T22" s="1554"/>
      <c r="U22" s="1554"/>
      <c r="V22" s="1554"/>
      <c r="W22" s="1555"/>
      <c r="X22" s="271"/>
      <c r="Y22" s="33"/>
    </row>
    <row r="23" spans="1:25">
      <c r="A23" s="33"/>
      <c r="B23" s="33"/>
      <c r="C23" s="33"/>
      <c r="D23" s="681"/>
      <c r="E23" s="271"/>
      <c r="F23" s="271"/>
      <c r="G23" s="271"/>
      <c r="H23" s="271"/>
      <c r="I23" s="271"/>
      <c r="J23" s="271"/>
      <c r="K23" s="271"/>
      <c r="L23" s="271"/>
      <c r="M23" s="271"/>
      <c r="N23" s="271"/>
      <c r="O23" s="271"/>
      <c r="P23" s="271"/>
      <c r="Q23" s="271"/>
      <c r="R23" s="271"/>
      <c r="S23" s="271"/>
      <c r="T23" s="271"/>
      <c r="U23" s="271"/>
      <c r="V23" s="271"/>
      <c r="W23" s="273"/>
      <c r="X23" s="271"/>
      <c r="Y23" s="33"/>
    </row>
    <row r="24" spans="1:25">
      <c r="A24" s="33"/>
      <c r="B24" s="33"/>
      <c r="C24" s="33"/>
      <c r="D24" s="201"/>
      <c r="E24" s="33"/>
      <c r="F24" s="33"/>
      <c r="G24" s="274"/>
      <c r="H24" s="1556">
        <v>1</v>
      </c>
      <c r="I24" s="1557"/>
      <c r="J24" s="1557"/>
      <c r="K24" s="1558"/>
      <c r="L24" s="1556">
        <f>H24+1</f>
        <v>2</v>
      </c>
      <c r="M24" s="1557"/>
      <c r="N24" s="1557"/>
      <c r="O24" s="1558"/>
      <c r="P24" s="1557">
        <f>L24+1</f>
        <v>3</v>
      </c>
      <c r="Q24" s="1557"/>
      <c r="R24" s="1557"/>
      <c r="S24" s="1557"/>
      <c r="T24" s="1556">
        <f>P24+1</f>
        <v>4</v>
      </c>
      <c r="U24" s="1557"/>
      <c r="V24" s="1557"/>
      <c r="W24" s="1558"/>
      <c r="X24" s="275"/>
      <c r="Y24" s="33"/>
    </row>
    <row r="25" spans="1:25" s="292" customFormat="1" ht="11.5">
      <c r="A25" s="276"/>
      <c r="B25" s="276"/>
      <c r="C25" s="276"/>
      <c r="D25" s="682"/>
      <c r="E25" s="277" t="s">
        <v>1534</v>
      </c>
      <c r="F25" s="278"/>
      <c r="G25" s="279"/>
      <c r="H25" s="280"/>
      <c r="I25" s="281">
        <v>0.06</v>
      </c>
      <c r="J25" s="282"/>
      <c r="K25" s="283">
        <v>6.4000000000000001E-2</v>
      </c>
      <c r="L25" s="280"/>
      <c r="M25" s="282"/>
      <c r="N25" s="282"/>
      <c r="O25" s="284"/>
      <c r="P25" s="285">
        <v>7.0000000000000007E-2</v>
      </c>
      <c r="Q25" s="286"/>
      <c r="R25" s="286"/>
      <c r="S25" s="287"/>
      <c r="T25" s="288"/>
      <c r="U25" s="289">
        <v>7.400000000000001E-2</v>
      </c>
      <c r="V25" s="286"/>
      <c r="W25" s="290"/>
      <c r="X25" s="291"/>
      <c r="Y25" s="276"/>
    </row>
    <row r="26" spans="1:25" s="80" customFormat="1">
      <c r="D26" s="215"/>
      <c r="E26" s="83"/>
      <c r="G26" s="293"/>
      <c r="H26" s="294"/>
      <c r="I26" s="294"/>
      <c r="J26" s="294"/>
      <c r="K26" s="294"/>
      <c r="L26" s="294"/>
      <c r="M26" s="294"/>
      <c r="N26" s="294"/>
      <c r="O26" s="294"/>
      <c r="P26" s="294"/>
      <c r="Q26" s="295"/>
      <c r="R26" s="295"/>
      <c r="S26" s="295"/>
      <c r="T26" s="295"/>
      <c r="U26" s="295"/>
      <c r="V26" s="295"/>
      <c r="W26" s="683"/>
      <c r="X26" s="295"/>
    </row>
    <row r="27" spans="1:25" s="80" customFormat="1">
      <c r="D27" s="215"/>
      <c r="E27" s="296">
        <v>7.400000000000001E-2</v>
      </c>
      <c r="G27" s="293"/>
      <c r="H27" s="294"/>
      <c r="I27" s="294"/>
      <c r="J27" s="294"/>
      <c r="K27" s="294"/>
      <c r="L27" s="294"/>
      <c r="M27" s="294"/>
      <c r="N27" s="294"/>
      <c r="O27" s="294"/>
      <c r="P27" s="294"/>
      <c r="Q27" s="295"/>
      <c r="R27" s="295"/>
      <c r="S27" s="295"/>
      <c r="T27" s="295"/>
      <c r="U27" s="295"/>
      <c r="V27" s="295"/>
      <c r="W27" s="683"/>
      <c r="X27" s="295"/>
    </row>
    <row r="28" spans="1:25" s="80" customFormat="1">
      <c r="D28" s="215"/>
      <c r="E28" s="296">
        <v>7.2000000000000008E-2</v>
      </c>
      <c r="G28" s="293"/>
      <c r="H28" s="294"/>
      <c r="I28" s="294"/>
      <c r="J28" s="294"/>
      <c r="K28" s="294"/>
      <c r="L28" s="294"/>
      <c r="M28" s="294"/>
      <c r="N28" s="294"/>
      <c r="O28" s="294"/>
      <c r="P28" s="294"/>
      <c r="Q28" s="295"/>
      <c r="R28" s="295"/>
      <c r="S28" s="295"/>
      <c r="T28" s="295"/>
      <c r="U28" s="295"/>
      <c r="V28" s="295"/>
      <c r="W28" s="683"/>
      <c r="X28" s="295"/>
    </row>
    <row r="29" spans="1:25" s="80" customFormat="1">
      <c r="D29" s="215"/>
      <c r="E29" s="296">
        <v>7.0000000000000007E-2</v>
      </c>
      <c r="G29" s="293"/>
      <c r="H29" s="294"/>
      <c r="I29" s="294"/>
      <c r="J29" s="294"/>
      <c r="K29" s="294"/>
      <c r="L29" s="294"/>
      <c r="M29" s="294"/>
      <c r="N29" s="294"/>
      <c r="O29" s="294"/>
      <c r="P29" s="294"/>
      <c r="Q29" s="295"/>
      <c r="R29" s="295"/>
      <c r="S29" s="295"/>
      <c r="T29" s="295"/>
      <c r="U29" s="295"/>
      <c r="V29" s="295"/>
      <c r="W29" s="683"/>
      <c r="X29" s="295"/>
    </row>
    <row r="30" spans="1:25" s="80" customFormat="1">
      <c r="D30" s="215"/>
      <c r="E30" s="296">
        <v>6.8000000000000005E-2</v>
      </c>
      <c r="G30" s="293"/>
      <c r="H30" s="294"/>
      <c r="I30" s="294"/>
      <c r="J30" s="294"/>
      <c r="K30" s="294"/>
      <c r="L30" s="294"/>
      <c r="M30" s="294"/>
      <c r="N30" s="294"/>
      <c r="O30" s="294"/>
      <c r="P30" s="294"/>
      <c r="Q30" s="295"/>
      <c r="R30" s="295"/>
      <c r="S30" s="295"/>
      <c r="T30" s="295"/>
      <c r="U30" s="295"/>
      <c r="V30" s="295"/>
      <c r="W30" s="683"/>
      <c r="X30" s="295"/>
    </row>
    <row r="31" spans="1:25" s="80" customFormat="1">
      <c r="D31" s="215"/>
      <c r="E31" s="296">
        <v>6.6000000000000003E-2</v>
      </c>
      <c r="G31" s="293"/>
      <c r="H31" s="294"/>
      <c r="I31" s="294"/>
      <c r="J31" s="294"/>
      <c r="K31" s="294"/>
      <c r="L31" s="294"/>
      <c r="M31" s="294"/>
      <c r="N31" s="294"/>
      <c r="O31" s="294"/>
      <c r="P31" s="294"/>
      <c r="Q31" s="295"/>
      <c r="R31" s="295"/>
      <c r="S31" s="295"/>
      <c r="T31" s="295"/>
      <c r="U31" s="295"/>
      <c r="V31" s="295"/>
      <c r="W31" s="683"/>
      <c r="X31" s="295"/>
    </row>
    <row r="32" spans="1:25" s="80" customFormat="1">
      <c r="D32" s="215"/>
      <c r="E32" s="296">
        <v>6.4000000000000001E-2</v>
      </c>
      <c r="G32" s="293"/>
      <c r="W32" s="217"/>
    </row>
    <row r="33" spans="2:25" s="80" customFormat="1">
      <c r="D33" s="215"/>
      <c r="E33" s="296">
        <v>6.2000000000000006E-2</v>
      </c>
      <c r="G33" s="293"/>
      <c r="W33" s="217"/>
    </row>
    <row r="34" spans="2:25" s="80" customFormat="1">
      <c r="D34" s="215"/>
      <c r="E34" s="296">
        <v>0.06</v>
      </c>
      <c r="G34" s="293"/>
      <c r="W34" s="217"/>
    </row>
    <row r="35" spans="2:25" s="80" customFormat="1">
      <c r="D35" s="215"/>
      <c r="E35" s="296">
        <v>5.8000000000000003E-2</v>
      </c>
      <c r="G35" s="293"/>
      <c r="W35" s="217"/>
    </row>
    <row r="36" spans="2:25" s="80" customFormat="1">
      <c r="D36" s="628"/>
      <c r="E36" s="222"/>
      <c r="F36" s="222"/>
      <c r="G36" s="684"/>
      <c r="H36" s="222"/>
      <c r="I36" s="222"/>
      <c r="J36" s="222"/>
      <c r="K36" s="222"/>
      <c r="L36" s="222"/>
      <c r="M36" s="222"/>
      <c r="N36" s="222"/>
      <c r="O36" s="222"/>
      <c r="P36" s="222"/>
      <c r="Q36" s="222"/>
      <c r="R36" s="222"/>
      <c r="S36" s="222"/>
      <c r="T36" s="222"/>
      <c r="U36" s="222"/>
      <c r="V36" s="222"/>
      <c r="W36" s="223"/>
    </row>
    <row r="37" spans="2:25" s="80" customFormat="1">
      <c r="G37" s="293"/>
    </row>
    <row r="38" spans="2:25" s="80" customFormat="1">
      <c r="D38" s="1553" t="s">
        <v>758</v>
      </c>
      <c r="E38" s="1554"/>
      <c r="F38" s="1554"/>
      <c r="G38" s="1554"/>
      <c r="H38" s="1554"/>
      <c r="I38" s="1554"/>
      <c r="J38" s="1554"/>
      <c r="K38" s="1554"/>
      <c r="L38" s="1554"/>
      <c r="M38" s="1554"/>
      <c r="N38" s="1554"/>
      <c r="O38" s="1554"/>
      <c r="P38" s="1554"/>
      <c r="Q38" s="1554"/>
      <c r="R38" s="1554"/>
      <c r="S38" s="1554"/>
      <c r="T38" s="1554"/>
      <c r="U38" s="1554"/>
      <c r="V38" s="1554"/>
      <c r="W38" s="1555"/>
      <c r="X38" s="271"/>
    </row>
    <row r="39" spans="2:25" s="80" customFormat="1">
      <c r="D39" s="215"/>
      <c r="G39" s="293"/>
      <c r="W39" s="217"/>
    </row>
    <row r="40" spans="2:25" s="125" customFormat="1">
      <c r="B40" s="80"/>
      <c r="C40" s="80"/>
      <c r="D40" s="215"/>
      <c r="E40" s="80"/>
      <c r="F40" s="80"/>
      <c r="G40" s="293"/>
      <c r="H40" s="1560">
        <v>1</v>
      </c>
      <c r="I40" s="1559"/>
      <c r="J40" s="1559"/>
      <c r="K40" s="1561"/>
      <c r="L40" s="1560">
        <f>H40+1</f>
        <v>2</v>
      </c>
      <c r="M40" s="1559"/>
      <c r="N40" s="1559"/>
      <c r="O40" s="1561"/>
      <c r="P40" s="1559">
        <f>L40+1</f>
        <v>3</v>
      </c>
      <c r="Q40" s="1559"/>
      <c r="R40" s="1559"/>
      <c r="S40" s="1559"/>
      <c r="T40" s="1560">
        <f>P40+1</f>
        <v>4</v>
      </c>
      <c r="U40" s="1559"/>
      <c r="V40" s="1559"/>
      <c r="W40" s="1561"/>
      <c r="X40" s="275"/>
      <c r="Y40" s="80"/>
    </row>
    <row r="41" spans="2:25" s="297" customFormat="1" ht="27.75" customHeight="1">
      <c r="D41" s="298"/>
      <c r="E41" s="299" t="s">
        <v>354</v>
      </c>
      <c r="F41" s="300" t="s">
        <v>1522</v>
      </c>
      <c r="G41" s="301" t="s">
        <v>1517</v>
      </c>
      <c r="H41" s="302"/>
      <c r="I41" s="303"/>
      <c r="J41" s="303"/>
      <c r="K41" s="304"/>
      <c r="L41" s="302"/>
      <c r="M41" s="303"/>
      <c r="N41" s="303"/>
      <c r="O41" s="304"/>
      <c r="P41" s="302"/>
      <c r="Q41" s="303"/>
      <c r="R41" s="303"/>
      <c r="S41" s="304"/>
      <c r="T41" s="302"/>
      <c r="U41" s="303"/>
      <c r="V41" s="303"/>
      <c r="W41" s="304"/>
      <c r="X41" s="305"/>
      <c r="Y41" s="305"/>
    </row>
    <row r="42" spans="2:25" s="306" customFormat="1" ht="12.75" customHeight="1">
      <c r="D42" s="307" t="s">
        <v>668</v>
      </c>
      <c r="E42" s="308" t="s">
        <v>1573</v>
      </c>
      <c r="F42" s="309" t="s">
        <v>1532</v>
      </c>
      <c r="G42" s="310" t="s">
        <v>1533</v>
      </c>
      <c r="H42" s="311" t="s">
        <v>1518</v>
      </c>
      <c r="I42" s="309" t="s">
        <v>1519</v>
      </c>
      <c r="J42" s="309" t="s">
        <v>1520</v>
      </c>
      <c r="K42" s="310" t="s">
        <v>1521</v>
      </c>
      <c r="L42" s="311" t="s">
        <v>1518</v>
      </c>
      <c r="M42" s="309" t="s">
        <v>1519</v>
      </c>
      <c r="N42" s="309" t="s">
        <v>1520</v>
      </c>
      <c r="O42" s="310" t="s">
        <v>1521</v>
      </c>
      <c r="P42" s="311" t="s">
        <v>1518</v>
      </c>
      <c r="Q42" s="309" t="s">
        <v>1519</v>
      </c>
      <c r="R42" s="309" t="s">
        <v>1520</v>
      </c>
      <c r="S42" s="310" t="s">
        <v>1521</v>
      </c>
      <c r="T42" s="311" t="s">
        <v>1518</v>
      </c>
      <c r="U42" s="309" t="s">
        <v>1519</v>
      </c>
      <c r="V42" s="309" t="s">
        <v>1520</v>
      </c>
      <c r="W42" s="310" t="s">
        <v>1521</v>
      </c>
      <c r="X42" s="312"/>
      <c r="Y42" s="85"/>
    </row>
    <row r="43" spans="2:25">
      <c r="D43" s="313">
        <v>0</v>
      </c>
      <c r="E43" s="314">
        <v>2</v>
      </c>
      <c r="F43" s="315" t="s">
        <v>1518</v>
      </c>
      <c r="G43" s="316">
        <v>4</v>
      </c>
      <c r="H43" s="317">
        <f>IF(RateSensitising_calcs!G$21&lt;=$G43*4,IF(MOD(RateSensitising_calcs!G$21-RateSensitising_calcs!$D2,4/$E43)=0,$D43,0),0)</f>
        <v>0</v>
      </c>
      <c r="I43" s="318">
        <f>IF(RateSensitising_calcs!H$21&lt;=$G43*4,IF(MOD(RateSensitising_calcs!H$21-RateSensitising_calcs!$D2,4/$E43)=0,$D43,0),0)</f>
        <v>0</v>
      </c>
      <c r="J43" s="318">
        <f>IF(RateSensitising_calcs!I$21&lt;=$G43*4,IF(MOD(RateSensitising_calcs!I$21-RateSensitising_calcs!$D2,4/$E43)=0,$D43,0),0)</f>
        <v>0</v>
      </c>
      <c r="K43" s="319">
        <f>IF(RateSensitising_calcs!J$21&lt;=$G43*4,IF(MOD(RateSensitising_calcs!J$21-RateSensitising_calcs!$D2,4/$E43)=0,$D43,0),0)</f>
        <v>0</v>
      </c>
      <c r="L43" s="317">
        <f>IF(RateSensitising_calcs!K$21&lt;=$G43*4,IF(MOD(RateSensitising_calcs!K$21-RateSensitising_calcs!$D2,4/$E43)=0,$D43,0),0)</f>
        <v>0</v>
      </c>
      <c r="M43" s="318">
        <f>IF(RateSensitising_calcs!L$21&lt;=$G43*4,IF(MOD(RateSensitising_calcs!L$21-RateSensitising_calcs!$D2,4/$E43)=0,$D43,0),0)</f>
        <v>0</v>
      </c>
      <c r="N43" s="318">
        <f>IF(RateSensitising_calcs!M$21&lt;=$G43*4,IF(MOD(RateSensitising_calcs!M$21-RateSensitising_calcs!$D2,4/$E43)=0,$D43,0),0)</f>
        <v>0</v>
      </c>
      <c r="O43" s="319">
        <f>IF(RateSensitising_calcs!N$21&lt;=$G43*4,IF(MOD(RateSensitising_calcs!N$21-RateSensitising_calcs!$D2,4/$E43)=0,$D43,0),0)</f>
        <v>0</v>
      </c>
      <c r="P43" s="317">
        <f>IF(RateSensitising_calcs!O$21&lt;=$G43*4,IF(MOD(RateSensitising_calcs!O$21-RateSensitising_calcs!$D2,4/$E43)=0,$D43,0),0)</f>
        <v>0</v>
      </c>
      <c r="Q43" s="318">
        <f>IF(RateSensitising_calcs!P$21&lt;=$G43*4,IF(MOD(RateSensitising_calcs!P$21-RateSensitising_calcs!$D2,4/$E43)=0,$D43,0),0)</f>
        <v>0</v>
      </c>
      <c r="R43" s="318">
        <f>IF(RateSensitising_calcs!Q$21&lt;=$G43*4,IF(MOD(RateSensitising_calcs!Q$21-RateSensitising_calcs!$D2,4/$E43)=0,$D43,0),0)</f>
        <v>0</v>
      </c>
      <c r="S43" s="319">
        <f>IF(RateSensitising_calcs!R$21&lt;=$G43*4,IF(MOD(RateSensitising_calcs!R$21-RateSensitising_calcs!$D2,4/$E43)=0,$D43,0),0)</f>
        <v>0</v>
      </c>
      <c r="T43" s="317">
        <f>IF(RateSensitising_calcs!S$21&lt;=$G43*4,IF(MOD(RateSensitising_calcs!S$21-RateSensitising_calcs!$D2,4/$E43)=0,$D43,0),0)</f>
        <v>0</v>
      </c>
      <c r="U43" s="318">
        <f>IF(RateSensitising_calcs!T$21&lt;=$G43*4,IF(MOD(RateSensitising_calcs!T$21-RateSensitising_calcs!$D2,4/$E43)=0,$D43,0),0)</f>
        <v>0</v>
      </c>
      <c r="V43" s="318">
        <f>IF(RateSensitising_calcs!U$21&lt;=$G43*4,IF(MOD(RateSensitising_calcs!U$21-RateSensitising_calcs!$D2,4/$E43)=0,$D43,0),0)</f>
        <v>0</v>
      </c>
      <c r="W43" s="319">
        <f>IF(RateSensitising_calcs!V$21&lt;=$G43*4,IF(MOD(RateSensitising_calcs!V$21-RateSensitising_calcs!$D2,4/$E43)=0,$D43,0),0)</f>
        <v>0</v>
      </c>
      <c r="X43" s="81"/>
    </row>
    <row r="44" spans="2:25">
      <c r="D44" s="313">
        <v>0</v>
      </c>
      <c r="E44" s="314">
        <v>1</v>
      </c>
      <c r="F44" s="315" t="s">
        <v>1521</v>
      </c>
      <c r="G44" s="316">
        <v>4</v>
      </c>
      <c r="H44" s="317">
        <f>IF(RateSensitising_calcs!G$21&lt;=$G44*4,IF(MOD(RateSensitising_calcs!G$21-RateSensitising_calcs!$D3,4/$E44)=0,$D44,0),0)</f>
        <v>0</v>
      </c>
      <c r="I44" s="318">
        <f>IF(RateSensitising_calcs!H$21&lt;=$G44*4,IF(MOD(RateSensitising_calcs!H$21-RateSensitising_calcs!$D3,4/$E44)=0,$D44,0),0)</f>
        <v>0</v>
      </c>
      <c r="J44" s="318">
        <f>IF(RateSensitising_calcs!I$21&lt;=$G44*4,IF(MOD(RateSensitising_calcs!I$21-RateSensitising_calcs!$D3,4/$E44)=0,$D44,0),0)</f>
        <v>0</v>
      </c>
      <c r="K44" s="319">
        <f>IF(RateSensitising_calcs!J$21&lt;=$G44*4,IF(MOD(RateSensitising_calcs!J$21-RateSensitising_calcs!$D3,4/$E44)=0,$D44,0),0)</f>
        <v>0</v>
      </c>
      <c r="L44" s="317">
        <f>IF(RateSensitising_calcs!K$21&lt;=$G44*4,IF(MOD(RateSensitising_calcs!K$21-RateSensitising_calcs!$D3,4/$E44)=0,$D44,0),0)</f>
        <v>0</v>
      </c>
      <c r="M44" s="318">
        <f>IF(RateSensitising_calcs!L$21&lt;=$G44*4,IF(MOD(RateSensitising_calcs!L$21-RateSensitising_calcs!$D3,4/$E44)=0,$D44,0),0)</f>
        <v>0</v>
      </c>
      <c r="N44" s="318">
        <f>IF(RateSensitising_calcs!M$21&lt;=$G44*4,IF(MOD(RateSensitising_calcs!M$21-RateSensitising_calcs!$D3,4/$E44)=0,$D44,0),0)</f>
        <v>0</v>
      </c>
      <c r="O44" s="319">
        <f>IF(RateSensitising_calcs!N$21&lt;=$G44*4,IF(MOD(RateSensitising_calcs!N$21-RateSensitising_calcs!$D3,4/$E44)=0,$D44,0),0)</f>
        <v>0</v>
      </c>
      <c r="P44" s="317">
        <f>IF(RateSensitising_calcs!O$21&lt;=$G44*4,IF(MOD(RateSensitising_calcs!O$21-RateSensitising_calcs!$D3,4/$E44)=0,$D44,0),0)</f>
        <v>0</v>
      </c>
      <c r="Q44" s="318">
        <f>IF(RateSensitising_calcs!P$21&lt;=$G44*4,IF(MOD(RateSensitising_calcs!P$21-RateSensitising_calcs!$D3,4/$E44)=0,$D44,0),0)</f>
        <v>0</v>
      </c>
      <c r="R44" s="318">
        <f>IF(RateSensitising_calcs!Q$21&lt;=$G44*4,IF(MOD(RateSensitising_calcs!Q$21-RateSensitising_calcs!$D3,4/$E44)=0,$D44,0),0)</f>
        <v>0</v>
      </c>
      <c r="S44" s="319">
        <f>IF(RateSensitising_calcs!R$21&lt;=$G44*4,IF(MOD(RateSensitising_calcs!R$21-RateSensitising_calcs!$D3,4/$E44)=0,$D44,0),0)</f>
        <v>0</v>
      </c>
      <c r="T44" s="317">
        <f>IF(RateSensitising_calcs!S$21&lt;=$G44*4,IF(MOD(RateSensitising_calcs!S$21-RateSensitising_calcs!$D3,4/$E44)=0,$D44,0),0)</f>
        <v>0</v>
      </c>
      <c r="U44" s="318">
        <f>IF(RateSensitising_calcs!T$21&lt;=$G44*4,IF(MOD(RateSensitising_calcs!T$21-RateSensitising_calcs!$D3,4/$E44)=0,$D44,0),0)</f>
        <v>0</v>
      </c>
      <c r="V44" s="318">
        <f>IF(RateSensitising_calcs!U$21&lt;=$G44*4,IF(MOD(RateSensitising_calcs!U$21-RateSensitising_calcs!$D3,4/$E44)=0,$D44,0),0)</f>
        <v>0</v>
      </c>
      <c r="W44" s="319">
        <f>IF(RateSensitising_calcs!V$21&lt;=$G44*4,IF(MOD(RateSensitising_calcs!V$21-RateSensitising_calcs!$D3,4/$E44)=0,$D44,0),0)</f>
        <v>0</v>
      </c>
      <c r="X44" s="81"/>
    </row>
    <row r="45" spans="2:25">
      <c r="D45" s="313">
        <v>0</v>
      </c>
      <c r="E45" s="314">
        <v>2</v>
      </c>
      <c r="F45" s="315" t="s">
        <v>1520</v>
      </c>
      <c r="G45" s="316">
        <v>2</v>
      </c>
      <c r="H45" s="317">
        <f>IF(RateSensitising_calcs!G$21&lt;=$G45*4,IF(MOD(RateSensitising_calcs!G$21-RateSensitising_calcs!$D4,4/$E45)=0,$D45,0),0)</f>
        <v>0</v>
      </c>
      <c r="I45" s="318">
        <f>IF(RateSensitising_calcs!H$21&lt;=$G45*4,IF(MOD(RateSensitising_calcs!H$21-RateSensitising_calcs!$D4,4/$E45)=0,$D45,0),0)</f>
        <v>0</v>
      </c>
      <c r="J45" s="318">
        <f>IF(RateSensitising_calcs!I$21&lt;=$G45*4,IF(MOD(RateSensitising_calcs!I$21-RateSensitising_calcs!$D4,4/$E45)=0,$D45,0),0)</f>
        <v>0</v>
      </c>
      <c r="K45" s="319">
        <f>IF(RateSensitising_calcs!J$21&lt;=$G45*4,IF(MOD(RateSensitising_calcs!J$21-RateSensitising_calcs!$D4,4/$E45)=0,$D45,0),0)</f>
        <v>0</v>
      </c>
      <c r="L45" s="317">
        <f>IF(RateSensitising_calcs!K$21&lt;=$G45*4,IF(MOD(RateSensitising_calcs!K$21-RateSensitising_calcs!$D4,4/$E45)=0,$D45,0),0)</f>
        <v>0</v>
      </c>
      <c r="M45" s="318">
        <f>IF(RateSensitising_calcs!L$21&lt;=$G45*4,IF(MOD(RateSensitising_calcs!L$21-RateSensitising_calcs!$D4,4/$E45)=0,$D45,0),0)</f>
        <v>0</v>
      </c>
      <c r="N45" s="318">
        <f>IF(RateSensitising_calcs!M$21&lt;=$G45*4,IF(MOD(RateSensitising_calcs!M$21-RateSensitising_calcs!$D4,4/$E45)=0,$D45,0),0)</f>
        <v>0</v>
      </c>
      <c r="O45" s="319">
        <f>IF(RateSensitising_calcs!N$21&lt;=$G45*4,IF(MOD(RateSensitising_calcs!N$21-RateSensitising_calcs!$D4,4/$E45)=0,$D45,0),0)</f>
        <v>0</v>
      </c>
      <c r="P45" s="317">
        <f>IF(RateSensitising_calcs!O$21&lt;=$G45*4,IF(MOD(RateSensitising_calcs!O$21-RateSensitising_calcs!$D4,4/$E45)=0,$D45,0),0)</f>
        <v>0</v>
      </c>
      <c r="Q45" s="318">
        <f>IF(RateSensitising_calcs!P$21&lt;=$G45*4,IF(MOD(RateSensitising_calcs!P$21-RateSensitising_calcs!$D4,4/$E45)=0,$D45,0),0)</f>
        <v>0</v>
      </c>
      <c r="R45" s="318">
        <f>IF(RateSensitising_calcs!Q$21&lt;=$G45*4,IF(MOD(RateSensitising_calcs!Q$21-RateSensitising_calcs!$D4,4/$E45)=0,$D45,0),0)</f>
        <v>0</v>
      </c>
      <c r="S45" s="319">
        <f>IF(RateSensitising_calcs!R$21&lt;=$G45*4,IF(MOD(RateSensitising_calcs!R$21-RateSensitising_calcs!$D4,4/$E45)=0,$D45,0),0)</f>
        <v>0</v>
      </c>
      <c r="T45" s="317">
        <f>IF(RateSensitising_calcs!S$21&lt;=$G45*4,IF(MOD(RateSensitising_calcs!S$21-RateSensitising_calcs!$D4,4/$E45)=0,$D45,0),0)</f>
        <v>0</v>
      </c>
      <c r="U45" s="318">
        <f>IF(RateSensitising_calcs!T$21&lt;=$G45*4,IF(MOD(RateSensitising_calcs!T$21-RateSensitising_calcs!$D4,4/$E45)=0,$D45,0),0)</f>
        <v>0</v>
      </c>
      <c r="V45" s="318">
        <f>IF(RateSensitising_calcs!U$21&lt;=$G45*4,IF(MOD(RateSensitising_calcs!U$21-RateSensitising_calcs!$D4,4/$E45)=0,$D45,0),0)</f>
        <v>0</v>
      </c>
      <c r="W45" s="319">
        <f>IF(RateSensitising_calcs!V$21&lt;=$G45*4,IF(MOD(RateSensitising_calcs!V$21-RateSensitising_calcs!$D4,4/$E45)=0,$D45,0),0)</f>
        <v>0</v>
      </c>
      <c r="X45" s="81"/>
    </row>
    <row r="46" spans="2:25">
      <c r="D46" s="313">
        <v>0</v>
      </c>
      <c r="E46" s="314">
        <v>4</v>
      </c>
      <c r="F46" s="315" t="s">
        <v>1518</v>
      </c>
      <c r="G46" s="316">
        <v>1</v>
      </c>
      <c r="H46" s="317">
        <f>IF(RateSensitising_calcs!G$21&lt;=$G46*4,IF(MOD(RateSensitising_calcs!G$21-RateSensitising_calcs!$D5,4/$E46)=0,$D46,0),0)</f>
        <v>0</v>
      </c>
      <c r="I46" s="318">
        <f>IF(RateSensitising_calcs!H$21&lt;=$G46*4,IF(MOD(RateSensitising_calcs!H$21-RateSensitising_calcs!$D5,4/$E46)=0,$D46,0),0)</f>
        <v>0</v>
      </c>
      <c r="J46" s="318">
        <f>IF(RateSensitising_calcs!I$21&lt;=$G46*4,IF(MOD(RateSensitising_calcs!I$21-RateSensitising_calcs!$D5,4/$E46)=0,$D46,0),0)</f>
        <v>0</v>
      </c>
      <c r="K46" s="319">
        <f>IF(RateSensitising_calcs!J$21&lt;=$G46*4,IF(MOD(RateSensitising_calcs!J$21-RateSensitising_calcs!$D5,4/$E46)=0,$D46,0),0)</f>
        <v>0</v>
      </c>
      <c r="L46" s="317">
        <f>IF(RateSensitising_calcs!K$21&lt;=$G46*4,IF(MOD(RateSensitising_calcs!K$21-RateSensitising_calcs!$D5,4/$E46)=0,$D46,0),0)</f>
        <v>0</v>
      </c>
      <c r="M46" s="318">
        <f>IF(RateSensitising_calcs!L$21&lt;=$G46*4,IF(MOD(RateSensitising_calcs!L$21-RateSensitising_calcs!$D5,4/$E46)=0,$D46,0),0)</f>
        <v>0</v>
      </c>
      <c r="N46" s="318">
        <f>IF(RateSensitising_calcs!M$21&lt;=$G46*4,IF(MOD(RateSensitising_calcs!M$21-RateSensitising_calcs!$D5,4/$E46)=0,$D46,0),0)</f>
        <v>0</v>
      </c>
      <c r="O46" s="319">
        <f>IF(RateSensitising_calcs!N$21&lt;=$G46*4,IF(MOD(RateSensitising_calcs!N$21-RateSensitising_calcs!$D5,4/$E46)=0,$D46,0),0)</f>
        <v>0</v>
      </c>
      <c r="P46" s="317">
        <f>IF(RateSensitising_calcs!O$21&lt;=$G46*4,IF(MOD(RateSensitising_calcs!O$21-RateSensitising_calcs!$D5,4/$E46)=0,$D46,0),0)</f>
        <v>0</v>
      </c>
      <c r="Q46" s="318">
        <f>IF(RateSensitising_calcs!P$21&lt;=$G46*4,IF(MOD(RateSensitising_calcs!P$21-RateSensitising_calcs!$D5,4/$E46)=0,$D46,0),0)</f>
        <v>0</v>
      </c>
      <c r="R46" s="318">
        <f>IF(RateSensitising_calcs!Q$21&lt;=$G46*4,IF(MOD(RateSensitising_calcs!Q$21-RateSensitising_calcs!$D5,4/$E46)=0,$D46,0),0)</f>
        <v>0</v>
      </c>
      <c r="S46" s="319">
        <f>IF(RateSensitising_calcs!R$21&lt;=$G46*4,IF(MOD(RateSensitising_calcs!R$21-RateSensitising_calcs!$D5,4/$E46)=0,$D46,0),0)</f>
        <v>0</v>
      </c>
      <c r="T46" s="317">
        <f>IF(RateSensitising_calcs!S$21&lt;=$G46*4,IF(MOD(RateSensitising_calcs!S$21-RateSensitising_calcs!$D5,4/$E46)=0,$D46,0),0)</f>
        <v>0</v>
      </c>
      <c r="U46" s="318">
        <f>IF(RateSensitising_calcs!T$21&lt;=$G46*4,IF(MOD(RateSensitising_calcs!T$21-RateSensitising_calcs!$D5,4/$E46)=0,$D46,0),0)</f>
        <v>0</v>
      </c>
      <c r="V46" s="318">
        <f>IF(RateSensitising_calcs!U$21&lt;=$G46*4,IF(MOD(RateSensitising_calcs!U$21-RateSensitising_calcs!$D5,4/$E46)=0,$D46,0),0)</f>
        <v>0</v>
      </c>
      <c r="W46" s="319">
        <f>IF(RateSensitising_calcs!V$21&lt;=$G46*4,IF(MOD(RateSensitising_calcs!V$21-RateSensitising_calcs!$D5,4/$E46)=0,$D46,0),0)</f>
        <v>0</v>
      </c>
      <c r="X46" s="81"/>
    </row>
    <row r="47" spans="2:25">
      <c r="D47" s="313">
        <v>2</v>
      </c>
      <c r="E47" s="314">
        <v>1</v>
      </c>
      <c r="F47" s="315" t="s">
        <v>1520</v>
      </c>
      <c r="G47" s="316">
        <v>4</v>
      </c>
      <c r="H47" s="317">
        <f>IF(RateSensitising_calcs!G$21&lt;=$G47*4,IF(MOD(RateSensitising_calcs!G$21-RateSensitising_calcs!$D6,4/$E47)=0,$D47,0),0)</f>
        <v>0</v>
      </c>
      <c r="I47" s="318">
        <f>IF(RateSensitising_calcs!H$21&lt;=$G47*4,IF(MOD(RateSensitising_calcs!H$21-RateSensitising_calcs!$D6,4/$E47)=0,$D47,0),0)</f>
        <v>0</v>
      </c>
      <c r="J47" s="318">
        <f>IF(RateSensitising_calcs!I$21&lt;=$G47*4,IF(MOD(RateSensitising_calcs!I$21-RateSensitising_calcs!$D6,4/$E47)=0,$D47,0),0)</f>
        <v>2</v>
      </c>
      <c r="K47" s="319">
        <f>IF(RateSensitising_calcs!J$21&lt;=$G47*4,IF(MOD(RateSensitising_calcs!J$21-RateSensitising_calcs!$D6,4/$E47)=0,$D47,0),0)</f>
        <v>0</v>
      </c>
      <c r="L47" s="317">
        <f>IF(RateSensitising_calcs!K$21&lt;=$G47*4,IF(MOD(RateSensitising_calcs!K$21-RateSensitising_calcs!$D6,4/$E47)=0,$D47,0),0)</f>
        <v>0</v>
      </c>
      <c r="M47" s="318">
        <f>IF(RateSensitising_calcs!L$21&lt;=$G47*4,IF(MOD(RateSensitising_calcs!L$21-RateSensitising_calcs!$D6,4/$E47)=0,$D47,0),0)</f>
        <v>0</v>
      </c>
      <c r="N47" s="318">
        <f>IF(RateSensitising_calcs!M$21&lt;=$G47*4,IF(MOD(RateSensitising_calcs!M$21-RateSensitising_calcs!$D6,4/$E47)=0,$D47,0),0)</f>
        <v>2</v>
      </c>
      <c r="O47" s="319">
        <f>IF(RateSensitising_calcs!N$21&lt;=$G47*4,IF(MOD(RateSensitising_calcs!N$21-RateSensitising_calcs!$D6,4/$E47)=0,$D47,0),0)</f>
        <v>0</v>
      </c>
      <c r="P47" s="317">
        <f>IF(RateSensitising_calcs!O$21&lt;=$G47*4,IF(MOD(RateSensitising_calcs!O$21-RateSensitising_calcs!$D6,4/$E47)=0,$D47,0),0)</f>
        <v>0</v>
      </c>
      <c r="Q47" s="318">
        <f>IF(RateSensitising_calcs!P$21&lt;=$G47*4,IF(MOD(RateSensitising_calcs!P$21-RateSensitising_calcs!$D6,4/$E47)=0,$D47,0),0)</f>
        <v>0</v>
      </c>
      <c r="R47" s="318">
        <f>IF(RateSensitising_calcs!Q$21&lt;=$G47*4,IF(MOD(RateSensitising_calcs!Q$21-RateSensitising_calcs!$D6,4/$E47)=0,$D47,0),0)</f>
        <v>2</v>
      </c>
      <c r="S47" s="319">
        <f>IF(RateSensitising_calcs!R$21&lt;=$G47*4,IF(MOD(RateSensitising_calcs!R$21-RateSensitising_calcs!$D6,4/$E47)=0,$D47,0),0)</f>
        <v>0</v>
      </c>
      <c r="T47" s="317">
        <f>IF(RateSensitising_calcs!S$21&lt;=$G47*4,IF(MOD(RateSensitising_calcs!S$21-RateSensitising_calcs!$D6,4/$E47)=0,$D47,0),0)</f>
        <v>0</v>
      </c>
      <c r="U47" s="318">
        <f>IF(RateSensitising_calcs!T$21&lt;=$G47*4,IF(MOD(RateSensitising_calcs!T$21-RateSensitising_calcs!$D6,4/$E47)=0,$D47,0),0)</f>
        <v>0</v>
      </c>
      <c r="V47" s="318">
        <f>IF(RateSensitising_calcs!U$21&lt;=$G47*4,IF(MOD(RateSensitising_calcs!U$21-RateSensitising_calcs!$D6,4/$E47)=0,$D47,0),0)</f>
        <v>2</v>
      </c>
      <c r="W47" s="319">
        <f>IF(RateSensitising_calcs!V$21&lt;=$G47*4,IF(MOD(RateSensitising_calcs!V$21-RateSensitising_calcs!$D6,4/$E47)=0,$D47,0),0)</f>
        <v>0</v>
      </c>
      <c r="X47" s="81"/>
    </row>
    <row r="48" spans="2:25">
      <c r="D48" s="320">
        <v>0</v>
      </c>
      <c r="E48" s="321">
        <v>1</v>
      </c>
      <c r="F48" s="322" t="s">
        <v>1520</v>
      </c>
      <c r="G48" s="323">
        <v>2</v>
      </c>
      <c r="H48" s="324">
        <f>IF(RateSensitising_calcs!G$21&lt;=$G48*4,IF(MOD(RateSensitising_calcs!G$21-RateSensitising_calcs!$D7,4/$E48)=0,$D48,0),0)</f>
        <v>0</v>
      </c>
      <c r="I48" s="325">
        <f>IF(RateSensitising_calcs!H$21&lt;=$G48*4,IF(MOD(RateSensitising_calcs!H$21-RateSensitising_calcs!$D7,4/$E48)=0,$D48,0),0)</f>
        <v>0</v>
      </c>
      <c r="J48" s="325">
        <f>IF(RateSensitising_calcs!I$21&lt;=$G48*4,IF(MOD(RateSensitising_calcs!I$21-RateSensitising_calcs!$D7,4/$E48)=0,$D48,0),0)</f>
        <v>0</v>
      </c>
      <c r="K48" s="326">
        <f>IF(RateSensitising_calcs!J$21&lt;=$G48*4,IF(MOD(RateSensitising_calcs!J$21-RateSensitising_calcs!$D7,4/$E48)=0,$D48,0),0)</f>
        <v>0</v>
      </c>
      <c r="L48" s="324">
        <f>IF(RateSensitising_calcs!K$21&lt;=$G48*4,IF(MOD(RateSensitising_calcs!K$21-RateSensitising_calcs!$D7,4/$E48)=0,$D48,0),0)</f>
        <v>0</v>
      </c>
      <c r="M48" s="325">
        <f>IF(RateSensitising_calcs!L$21&lt;=$G48*4,IF(MOD(RateSensitising_calcs!L$21-RateSensitising_calcs!$D7,4/$E48)=0,$D48,0),0)</f>
        <v>0</v>
      </c>
      <c r="N48" s="325">
        <f>IF(RateSensitising_calcs!M$21&lt;=$G48*4,IF(MOD(RateSensitising_calcs!M$21-RateSensitising_calcs!$D7,4/$E48)=0,$D48,0),0)</f>
        <v>0</v>
      </c>
      <c r="O48" s="326">
        <f>IF(RateSensitising_calcs!N$21&lt;=$G48*4,IF(MOD(RateSensitising_calcs!N$21-RateSensitising_calcs!$D7,4/$E48)=0,$D48,0),0)</f>
        <v>0</v>
      </c>
      <c r="P48" s="324">
        <f>IF(RateSensitising_calcs!O$21&lt;=$G48*4,IF(MOD(RateSensitising_calcs!O$21-RateSensitising_calcs!$D7,4/$E48)=0,$D48,0),0)</f>
        <v>0</v>
      </c>
      <c r="Q48" s="325">
        <f>IF(RateSensitising_calcs!P$21&lt;=$G48*4,IF(MOD(RateSensitising_calcs!P$21-RateSensitising_calcs!$D7,4/$E48)=0,$D48,0),0)</f>
        <v>0</v>
      </c>
      <c r="R48" s="325">
        <f>IF(RateSensitising_calcs!Q$21&lt;=$G48*4,IF(MOD(RateSensitising_calcs!Q$21-RateSensitising_calcs!$D7,4/$E48)=0,$D48,0),0)</f>
        <v>0</v>
      </c>
      <c r="S48" s="326">
        <f>IF(RateSensitising_calcs!R$21&lt;=$G48*4,IF(MOD(RateSensitising_calcs!R$21-RateSensitising_calcs!$D7,4/$E48)=0,$D48,0),0)</f>
        <v>0</v>
      </c>
      <c r="T48" s="324">
        <f>IF(RateSensitising_calcs!S$21&lt;=$G48*4,IF(MOD(RateSensitising_calcs!S$21-RateSensitising_calcs!$D7,4/$E48)=0,$D48,0),0)</f>
        <v>0</v>
      </c>
      <c r="U48" s="325">
        <f>IF(RateSensitising_calcs!T$21&lt;=$G48*4,IF(MOD(RateSensitising_calcs!T$21-RateSensitising_calcs!$D7,4/$E48)=0,$D48,0),0)</f>
        <v>0</v>
      </c>
      <c r="V48" s="325">
        <f>IF(RateSensitising_calcs!U$21&lt;=$G48*4,IF(MOD(RateSensitising_calcs!U$21-RateSensitising_calcs!$D7,4/$E48)=0,$D48,0),0)</f>
        <v>0</v>
      </c>
      <c r="W48" s="326">
        <f>IF(RateSensitising_calcs!V$21&lt;=$G48*4,IF(MOD(RateSensitising_calcs!V$21-RateSensitising_calcs!$D7,4/$E48)=0,$D48,0),0)</f>
        <v>0</v>
      </c>
      <c r="X48" s="81"/>
    </row>
    <row r="49" spans="4:25" s="34" customFormat="1">
      <c r="D49" s="685"/>
      <c r="E49" s="83"/>
      <c r="F49" s="328"/>
      <c r="G49" s="83"/>
      <c r="H49" s="689"/>
      <c r="I49" s="689"/>
      <c r="J49" s="689"/>
      <c r="K49" s="689"/>
      <c r="L49" s="689"/>
      <c r="M49" s="689"/>
      <c r="N49" s="689"/>
      <c r="O49" s="689"/>
      <c r="P49" s="689"/>
      <c r="Q49" s="689"/>
      <c r="R49" s="689"/>
      <c r="S49" s="689"/>
      <c r="T49" s="689"/>
      <c r="U49" s="689"/>
      <c r="V49" s="689"/>
      <c r="W49" s="689"/>
      <c r="X49" s="327"/>
      <c r="Y49" s="83"/>
    </row>
    <row r="50" spans="4:25">
      <c r="D50" s="201"/>
      <c r="E50" s="33"/>
      <c r="F50" s="33"/>
      <c r="G50" s="33"/>
      <c r="H50" s="33"/>
      <c r="I50" s="33"/>
      <c r="J50" s="33"/>
      <c r="K50" s="33"/>
      <c r="L50" s="33"/>
      <c r="M50" s="33"/>
      <c r="N50" s="33"/>
      <c r="O50" s="33"/>
      <c r="P50" s="33"/>
      <c r="Q50" s="33"/>
      <c r="R50" s="33"/>
      <c r="S50" s="33"/>
      <c r="T50" s="33"/>
      <c r="U50" s="33"/>
      <c r="V50" s="33"/>
      <c r="W50" s="646"/>
    </row>
    <row r="51" spans="4:25">
      <c r="D51" s="201"/>
      <c r="E51" s="33"/>
      <c r="F51" s="33"/>
      <c r="G51" s="33"/>
      <c r="H51" s="33"/>
      <c r="I51" s="33"/>
      <c r="J51" s="33"/>
      <c r="K51" s="33"/>
      <c r="L51" s="33"/>
      <c r="M51" s="33"/>
      <c r="N51" s="33"/>
      <c r="O51" s="33"/>
      <c r="P51" s="33"/>
      <c r="Q51" s="33"/>
      <c r="R51" s="33"/>
      <c r="S51" s="33"/>
      <c r="T51" s="33"/>
      <c r="U51" s="33"/>
      <c r="V51" s="33"/>
      <c r="W51" s="646"/>
    </row>
    <row r="52" spans="4:25">
      <c r="D52" s="201"/>
      <c r="E52" s="33"/>
      <c r="F52" s="33"/>
      <c r="G52" s="33"/>
      <c r="H52" s="33"/>
      <c r="I52" s="33"/>
      <c r="J52" s="33"/>
      <c r="K52" s="33"/>
      <c r="L52" s="33"/>
      <c r="M52" s="33"/>
      <c r="N52" s="33"/>
      <c r="O52" s="33"/>
      <c r="P52" s="33"/>
      <c r="Q52" s="33"/>
      <c r="R52" s="33"/>
      <c r="S52" s="33"/>
      <c r="T52" s="33"/>
      <c r="U52" s="33"/>
      <c r="V52" s="33"/>
      <c r="W52" s="646"/>
    </row>
    <row r="53" spans="4:25">
      <c r="D53" s="201"/>
      <c r="E53" s="33"/>
      <c r="F53" s="33"/>
      <c r="G53" s="33"/>
      <c r="H53" s="33"/>
      <c r="I53" s="33"/>
      <c r="J53" s="33"/>
      <c r="K53" s="33"/>
      <c r="L53" s="33"/>
      <c r="M53" s="33"/>
      <c r="N53" s="33"/>
      <c r="O53" s="33"/>
      <c r="P53" s="33"/>
      <c r="Q53" s="33"/>
      <c r="R53" s="33"/>
      <c r="S53" s="33"/>
      <c r="T53" s="33"/>
      <c r="U53" s="33"/>
      <c r="V53" s="33"/>
      <c r="W53" s="646"/>
    </row>
    <row r="54" spans="4:25">
      <c r="D54" s="201"/>
      <c r="E54" s="33"/>
      <c r="F54" s="33"/>
      <c r="G54" s="33"/>
      <c r="H54" s="33"/>
      <c r="I54" s="33"/>
      <c r="J54" s="33"/>
      <c r="K54" s="33"/>
      <c r="L54" s="33"/>
      <c r="M54" s="33"/>
      <c r="N54" s="33"/>
      <c r="O54" s="33"/>
      <c r="P54" s="33"/>
      <c r="Q54" s="33"/>
      <c r="R54" s="33"/>
      <c r="S54" s="33"/>
      <c r="T54" s="33"/>
      <c r="U54" s="33"/>
      <c r="V54" s="33"/>
      <c r="W54" s="646"/>
    </row>
    <row r="55" spans="4:25">
      <c r="D55" s="201"/>
      <c r="E55" s="33"/>
      <c r="F55" s="33"/>
      <c r="G55" s="33"/>
      <c r="H55" s="33"/>
      <c r="I55" s="33"/>
      <c r="J55" s="33"/>
      <c r="K55" s="33"/>
      <c r="L55" s="33"/>
      <c r="M55" s="33"/>
      <c r="N55" s="33"/>
      <c r="O55" s="33"/>
      <c r="P55" s="33"/>
      <c r="Q55" s="33"/>
      <c r="R55" s="33"/>
      <c r="S55" s="33"/>
      <c r="T55" s="33"/>
      <c r="U55" s="33"/>
      <c r="V55" s="33"/>
      <c r="W55" s="646"/>
    </row>
    <row r="56" spans="4:25">
      <c r="D56" s="201"/>
      <c r="E56" s="33"/>
      <c r="F56" s="33"/>
      <c r="G56" s="33"/>
      <c r="H56" s="33"/>
      <c r="I56" s="33"/>
      <c r="J56" s="33"/>
      <c r="K56" s="33"/>
      <c r="L56" s="33"/>
      <c r="M56" s="33"/>
      <c r="N56" s="33"/>
      <c r="O56" s="33"/>
      <c r="P56" s="33"/>
      <c r="Q56" s="33"/>
      <c r="R56" s="33"/>
      <c r="S56" s="33"/>
      <c r="T56" s="33"/>
      <c r="U56" s="33"/>
      <c r="V56" s="33"/>
      <c r="W56" s="646"/>
    </row>
    <row r="57" spans="4:25">
      <c r="D57" s="201"/>
      <c r="E57" s="33"/>
      <c r="F57" s="33"/>
      <c r="G57" s="33"/>
      <c r="H57" s="33"/>
      <c r="I57" s="33"/>
      <c r="J57" s="33"/>
      <c r="K57" s="33"/>
      <c r="L57" s="33"/>
      <c r="M57" s="33"/>
      <c r="N57" s="33"/>
      <c r="O57" s="33"/>
      <c r="P57" s="33"/>
      <c r="Q57" s="33"/>
      <c r="R57" s="33"/>
      <c r="S57" s="33"/>
      <c r="T57" s="33"/>
      <c r="U57" s="33"/>
      <c r="V57" s="33"/>
      <c r="W57" s="646"/>
    </row>
    <row r="58" spans="4:25">
      <c r="D58" s="201"/>
      <c r="E58" s="33"/>
      <c r="F58" s="33"/>
      <c r="G58" s="33"/>
      <c r="H58" s="33"/>
      <c r="I58" s="33"/>
      <c r="J58" s="33"/>
      <c r="K58" s="33"/>
      <c r="L58" s="33"/>
      <c r="M58" s="33"/>
      <c r="N58" s="33"/>
      <c r="O58" s="33"/>
      <c r="P58" s="33"/>
      <c r="Q58" s="33"/>
      <c r="R58" s="33"/>
      <c r="S58" s="33"/>
      <c r="T58" s="33"/>
      <c r="U58" s="33"/>
      <c r="V58" s="33"/>
      <c r="W58" s="646"/>
    </row>
    <row r="59" spans="4:25">
      <c r="D59" s="201"/>
      <c r="E59" s="33"/>
      <c r="F59" s="33"/>
      <c r="G59" s="33"/>
      <c r="H59" s="33"/>
      <c r="I59" s="33"/>
      <c r="J59" s="33"/>
      <c r="K59" s="33"/>
      <c r="L59" s="33"/>
      <c r="M59" s="33"/>
      <c r="N59" s="33"/>
      <c r="O59" s="33"/>
      <c r="P59" s="33"/>
      <c r="Q59" s="33"/>
      <c r="R59" s="33"/>
      <c r="S59" s="33"/>
      <c r="T59" s="33"/>
      <c r="U59" s="33"/>
      <c r="V59" s="33"/>
      <c r="W59" s="646"/>
    </row>
    <row r="60" spans="4:25">
      <c r="D60" s="686"/>
      <c r="E60" s="687"/>
      <c r="F60" s="687"/>
      <c r="G60" s="687"/>
      <c r="H60" s="690"/>
      <c r="I60" s="690"/>
      <c r="J60" s="690"/>
      <c r="K60" s="690"/>
      <c r="L60" s="690"/>
      <c r="M60" s="690"/>
      <c r="N60" s="690"/>
      <c r="O60" s="690"/>
      <c r="P60" s="690"/>
      <c r="Q60" s="690"/>
      <c r="R60" s="690"/>
      <c r="S60" s="690"/>
      <c r="T60" s="690"/>
      <c r="U60" s="690"/>
      <c r="V60" s="690"/>
      <c r="W60" s="688"/>
    </row>
    <row r="61" spans="4:25">
      <c r="H61" s="690"/>
      <c r="I61" s="690"/>
      <c r="J61" s="690"/>
      <c r="K61" s="690"/>
      <c r="L61" s="690"/>
      <c r="M61" s="690"/>
      <c r="N61" s="690"/>
      <c r="O61" s="690"/>
      <c r="P61" s="690"/>
      <c r="Q61" s="690"/>
      <c r="R61" s="690"/>
      <c r="S61" s="690"/>
      <c r="T61" s="690"/>
      <c r="U61" s="690"/>
      <c r="V61" s="690"/>
    </row>
    <row r="62" spans="4:25">
      <c r="D62" s="1553" t="s">
        <v>1027</v>
      </c>
      <c r="E62" s="1554"/>
      <c r="F62" s="1554"/>
      <c r="G62" s="1554"/>
      <c r="H62" s="1554"/>
      <c r="I62" s="1554"/>
      <c r="J62" s="1554"/>
      <c r="K62" s="1554"/>
      <c r="L62" s="1554"/>
      <c r="M62" s="1554"/>
      <c r="N62" s="1554"/>
      <c r="O62" s="1554"/>
      <c r="P62" s="1554"/>
      <c r="Q62" s="1554"/>
      <c r="R62" s="1554"/>
      <c r="S62" s="1554"/>
      <c r="T62" s="1554"/>
      <c r="U62" s="1554"/>
      <c r="V62" s="1554"/>
      <c r="W62" s="1555"/>
    </row>
    <row r="63" spans="4:25">
      <c r="D63" s="201"/>
      <c r="E63" s="33"/>
      <c r="F63" s="33"/>
      <c r="G63" s="691"/>
      <c r="H63" s="692"/>
      <c r="I63" s="692"/>
      <c r="J63" s="692"/>
      <c r="K63" s="692"/>
      <c r="L63" s="692"/>
      <c r="M63" s="692"/>
      <c r="N63" s="692"/>
      <c r="O63" s="692"/>
      <c r="P63" s="692"/>
      <c r="Q63" s="692"/>
      <c r="R63" s="692"/>
      <c r="S63" s="692"/>
      <c r="T63" s="692"/>
      <c r="U63" s="692"/>
      <c r="V63" s="692"/>
      <c r="W63" s="693"/>
    </row>
    <row r="64" spans="4:25">
      <c r="D64" s="201"/>
      <c r="E64" s="33"/>
      <c r="F64" s="33"/>
      <c r="G64" s="33"/>
      <c r="H64" s="33"/>
      <c r="I64" s="33"/>
      <c r="J64" s="33"/>
      <c r="K64" s="33"/>
      <c r="L64" s="33"/>
      <c r="M64" s="33"/>
      <c r="N64" s="33"/>
      <c r="O64" s="33"/>
      <c r="P64" s="33"/>
      <c r="Q64" s="33"/>
      <c r="R64" s="33"/>
      <c r="S64" s="33"/>
      <c r="T64" s="33"/>
      <c r="U64" s="33"/>
      <c r="V64" s="33"/>
      <c r="W64" s="646"/>
    </row>
    <row r="65" spans="4:25">
      <c r="D65" s="201"/>
      <c r="E65" s="33"/>
      <c r="F65" s="33"/>
      <c r="G65" s="33"/>
      <c r="H65" s="33"/>
      <c r="I65" s="33"/>
      <c r="J65" s="33"/>
      <c r="K65" s="33"/>
      <c r="L65" s="33"/>
      <c r="M65" s="33"/>
      <c r="N65" s="33"/>
      <c r="O65" s="33"/>
      <c r="P65" s="33"/>
      <c r="Q65" s="33"/>
      <c r="R65" s="33"/>
      <c r="S65" s="33"/>
      <c r="T65" s="33"/>
      <c r="U65" s="33"/>
      <c r="V65" s="33"/>
      <c r="W65" s="646"/>
    </row>
    <row r="66" spans="4:25">
      <c r="D66" s="201"/>
      <c r="E66" s="33"/>
      <c r="F66" s="33"/>
      <c r="G66" s="33"/>
      <c r="H66" s="33"/>
      <c r="I66" s="33"/>
      <c r="J66" s="33"/>
      <c r="K66" s="33"/>
      <c r="L66" s="33"/>
      <c r="M66" s="33"/>
      <c r="N66" s="33"/>
      <c r="O66" s="33"/>
      <c r="P66" s="33"/>
      <c r="Q66" s="33"/>
      <c r="R66" s="33"/>
      <c r="S66" s="33"/>
      <c r="T66" s="33"/>
      <c r="U66" s="33"/>
      <c r="V66" s="33"/>
      <c r="W66" s="646"/>
    </row>
    <row r="67" spans="4:25">
      <c r="D67" s="201"/>
      <c r="E67" s="33"/>
      <c r="F67" s="97" t="e">
        <f ca="1">ZA()</f>
        <v>#NAME?</v>
      </c>
      <c r="G67" s="33"/>
      <c r="H67" s="33"/>
      <c r="I67" s="33"/>
      <c r="J67" s="33"/>
      <c r="K67" s="33"/>
      <c r="L67" s="33"/>
      <c r="M67" s="33"/>
      <c r="N67" s="33"/>
      <c r="O67" s="33"/>
      <c r="P67" s="33"/>
      <c r="Q67" s="33"/>
      <c r="R67" s="33"/>
      <c r="S67" s="33"/>
      <c r="T67" s="33"/>
      <c r="U67" s="33"/>
      <c r="V67" s="33"/>
      <c r="W67" s="646"/>
    </row>
    <row r="68" spans="4:25">
      <c r="D68" s="201"/>
      <c r="E68" s="33"/>
      <c r="F68" s="97"/>
      <c r="G68" s="33"/>
      <c r="H68" s="33"/>
      <c r="I68" s="33"/>
      <c r="J68" s="33"/>
      <c r="K68" s="33"/>
      <c r="L68" s="33"/>
      <c r="M68" s="33"/>
      <c r="N68" s="33"/>
      <c r="O68" s="33"/>
      <c r="P68" s="33"/>
      <c r="Q68" s="33"/>
      <c r="R68" s="33"/>
      <c r="S68" s="33"/>
      <c r="T68" s="33"/>
      <c r="U68" s="33"/>
      <c r="V68" s="33"/>
      <c r="W68" s="646"/>
    </row>
    <row r="69" spans="4:25" s="144" customFormat="1">
      <c r="D69" s="694"/>
      <c r="E69" s="141"/>
      <c r="F69" s="141"/>
      <c r="G69" s="329"/>
      <c r="H69" s="330">
        <v>1</v>
      </c>
      <c r="I69" s="330">
        <f t="shared" ref="I69:W69" si="0">H69+0.25</f>
        <v>1.25</v>
      </c>
      <c r="J69" s="330">
        <f t="shared" si="0"/>
        <v>1.5</v>
      </c>
      <c r="K69" s="330">
        <f t="shared" si="0"/>
        <v>1.75</v>
      </c>
      <c r="L69" s="330">
        <f t="shared" si="0"/>
        <v>2</v>
      </c>
      <c r="M69" s="330">
        <f t="shared" si="0"/>
        <v>2.25</v>
      </c>
      <c r="N69" s="330">
        <f t="shared" si="0"/>
        <v>2.5</v>
      </c>
      <c r="O69" s="330">
        <f t="shared" si="0"/>
        <v>2.75</v>
      </c>
      <c r="P69" s="330">
        <f t="shared" si="0"/>
        <v>3</v>
      </c>
      <c r="Q69" s="330">
        <f t="shared" si="0"/>
        <v>3.25</v>
      </c>
      <c r="R69" s="330">
        <f t="shared" si="0"/>
        <v>3.5</v>
      </c>
      <c r="S69" s="330">
        <f t="shared" si="0"/>
        <v>3.75</v>
      </c>
      <c r="T69" s="330">
        <f t="shared" si="0"/>
        <v>4</v>
      </c>
      <c r="U69" s="330">
        <f t="shared" si="0"/>
        <v>4.25</v>
      </c>
      <c r="V69" s="330">
        <f t="shared" si="0"/>
        <v>4.5</v>
      </c>
      <c r="W69" s="695">
        <f t="shared" si="0"/>
        <v>4.75</v>
      </c>
      <c r="X69" s="331"/>
      <c r="Y69" s="141"/>
    </row>
    <row r="70" spans="4:25" s="73" customFormat="1">
      <c r="D70" s="696"/>
      <c r="E70" s="332"/>
      <c r="F70" s="332"/>
      <c r="G70" s="333"/>
      <c r="H70" s="334">
        <v>1</v>
      </c>
      <c r="I70" s="334">
        <v>1</v>
      </c>
      <c r="J70" s="334">
        <v>1</v>
      </c>
      <c r="K70" s="334">
        <v>1</v>
      </c>
      <c r="L70" s="334">
        <f t="shared" ref="L70:W70" si="1">H70+1</f>
        <v>2</v>
      </c>
      <c r="M70" s="334">
        <f t="shared" si="1"/>
        <v>2</v>
      </c>
      <c r="N70" s="334">
        <f t="shared" si="1"/>
        <v>2</v>
      </c>
      <c r="O70" s="334">
        <f t="shared" si="1"/>
        <v>2</v>
      </c>
      <c r="P70" s="334">
        <f t="shared" si="1"/>
        <v>3</v>
      </c>
      <c r="Q70" s="334">
        <f t="shared" si="1"/>
        <v>3</v>
      </c>
      <c r="R70" s="334">
        <f t="shared" si="1"/>
        <v>3</v>
      </c>
      <c r="S70" s="334">
        <f t="shared" si="1"/>
        <v>3</v>
      </c>
      <c r="T70" s="334">
        <f t="shared" si="1"/>
        <v>4</v>
      </c>
      <c r="U70" s="334">
        <f t="shared" si="1"/>
        <v>4</v>
      </c>
      <c r="V70" s="334">
        <f t="shared" si="1"/>
        <v>4</v>
      </c>
      <c r="W70" s="697">
        <f t="shared" si="1"/>
        <v>4</v>
      </c>
      <c r="X70" s="335"/>
      <c r="Y70" s="97"/>
    </row>
    <row r="71" spans="4:25" s="144" customFormat="1">
      <c r="D71" s="694"/>
      <c r="E71" s="141"/>
      <c r="F71" s="141"/>
      <c r="G71" s="329"/>
      <c r="H71" s="336" t="str">
        <f t="shared" ref="H71:W71" si="2">"Y"&amp;H70&amp;", "&amp;H42</f>
        <v>Y1, Q1</v>
      </c>
      <c r="I71" s="336" t="str">
        <f t="shared" si="2"/>
        <v>Y1, Q2</v>
      </c>
      <c r="J71" s="336" t="str">
        <f t="shared" si="2"/>
        <v>Y1, Q3</v>
      </c>
      <c r="K71" s="336" t="str">
        <f t="shared" si="2"/>
        <v>Y1, Q4</v>
      </c>
      <c r="L71" s="336" t="str">
        <f t="shared" si="2"/>
        <v>Y2, Q1</v>
      </c>
      <c r="M71" s="336" t="str">
        <f t="shared" si="2"/>
        <v>Y2, Q2</v>
      </c>
      <c r="N71" s="336" t="str">
        <f t="shared" si="2"/>
        <v>Y2, Q3</v>
      </c>
      <c r="O71" s="336" t="str">
        <f t="shared" si="2"/>
        <v>Y2, Q4</v>
      </c>
      <c r="P71" s="336" t="str">
        <f t="shared" si="2"/>
        <v>Y3, Q1</v>
      </c>
      <c r="Q71" s="336" t="str">
        <f t="shared" si="2"/>
        <v>Y3, Q2</v>
      </c>
      <c r="R71" s="336" t="str">
        <f t="shared" si="2"/>
        <v>Y3, Q3</v>
      </c>
      <c r="S71" s="336" t="str">
        <f t="shared" si="2"/>
        <v>Y3, Q4</v>
      </c>
      <c r="T71" s="336" t="str">
        <f t="shared" si="2"/>
        <v>Y4, Q1</v>
      </c>
      <c r="U71" s="336" t="str">
        <f t="shared" si="2"/>
        <v>Y4, Q2</v>
      </c>
      <c r="V71" s="336" t="str">
        <f t="shared" si="2"/>
        <v>Y4, Q3</v>
      </c>
      <c r="W71" s="698" t="str">
        <f t="shared" si="2"/>
        <v>Y4, Q4</v>
      </c>
      <c r="X71" s="337"/>
      <c r="Y71" s="338"/>
    </row>
    <row r="72" spans="4:25" s="73" customFormat="1">
      <c r="D72" s="699"/>
      <c r="E72" s="97"/>
      <c r="F72" s="97"/>
      <c r="G72" s="339"/>
      <c r="H72" s="340"/>
      <c r="I72" s="340"/>
      <c r="J72" s="340"/>
      <c r="K72" s="340"/>
      <c r="L72" s="340"/>
      <c r="M72" s="340"/>
      <c r="N72" s="340"/>
      <c r="O72" s="340"/>
      <c r="P72" s="340"/>
      <c r="Q72" s="340"/>
      <c r="R72" s="340"/>
      <c r="S72" s="340"/>
      <c r="T72" s="340"/>
      <c r="U72" s="340"/>
      <c r="V72" s="340"/>
      <c r="W72" s="700"/>
      <c r="X72" s="341"/>
      <c r="Y72" s="97"/>
    </row>
    <row r="73" spans="4:25" s="73" customFormat="1">
      <c r="D73" s="701"/>
      <c r="E73" s="270"/>
      <c r="F73" s="270"/>
      <c r="G73" s="342"/>
      <c r="H73" s="341"/>
      <c r="I73" s="341"/>
      <c r="J73" s="341"/>
      <c r="K73" s="341"/>
      <c r="L73" s="341"/>
      <c r="M73" s="341"/>
      <c r="N73" s="341"/>
      <c r="O73" s="341"/>
      <c r="P73" s="341"/>
      <c r="Q73" s="341"/>
      <c r="R73" s="341"/>
      <c r="S73" s="341"/>
      <c r="T73" s="341"/>
      <c r="U73" s="341"/>
      <c r="V73" s="341"/>
      <c r="W73" s="702"/>
      <c r="X73" s="341"/>
      <c r="Y73" s="97"/>
    </row>
    <row r="74" spans="4:25" s="73" customFormat="1">
      <c r="D74" s="701"/>
      <c r="E74" s="270"/>
      <c r="F74" s="270"/>
      <c r="G74" s="342"/>
      <c r="H74" s="341"/>
      <c r="I74" s="341"/>
      <c r="J74" s="341"/>
      <c r="K74" s="341"/>
      <c r="L74" s="341"/>
      <c r="M74" s="341"/>
      <c r="N74" s="341"/>
      <c r="O74" s="341"/>
      <c r="P74" s="341"/>
      <c r="Q74" s="341"/>
      <c r="R74" s="341"/>
      <c r="S74" s="341"/>
      <c r="T74" s="341"/>
      <c r="U74" s="341"/>
      <c r="V74" s="341"/>
      <c r="W74" s="702"/>
      <c r="X74" s="341"/>
      <c r="Y74" s="97"/>
    </row>
    <row r="75" spans="4:25" s="73" customFormat="1">
      <c r="D75" s="703"/>
      <c r="E75" s="704"/>
      <c r="F75" s="704"/>
      <c r="G75" s="705"/>
      <c r="H75" s="706"/>
      <c r="I75" s="706"/>
      <c r="J75" s="706"/>
      <c r="K75" s="706"/>
      <c r="L75" s="706"/>
      <c r="M75" s="706"/>
      <c r="N75" s="706"/>
      <c r="O75" s="706"/>
      <c r="P75" s="706"/>
      <c r="Q75" s="706"/>
      <c r="R75" s="706"/>
      <c r="S75" s="706"/>
      <c r="T75" s="706"/>
      <c r="U75" s="706"/>
      <c r="V75" s="706"/>
      <c r="W75" s="707"/>
      <c r="X75" s="341"/>
      <c r="Y75" s="97"/>
    </row>
    <row r="76" spans="4:25" s="73" customFormat="1">
      <c r="D76" s="270"/>
      <c r="E76" s="270"/>
      <c r="F76" s="270"/>
      <c r="G76" s="342"/>
      <c r="H76" s="341"/>
      <c r="I76" s="341"/>
      <c r="J76" s="341"/>
      <c r="K76" s="341"/>
      <c r="L76" s="341"/>
      <c r="M76" s="341"/>
      <c r="N76" s="341"/>
      <c r="O76" s="341"/>
      <c r="P76" s="341"/>
      <c r="Q76" s="341"/>
      <c r="R76" s="341"/>
      <c r="S76" s="341"/>
      <c r="T76" s="341"/>
      <c r="U76" s="341"/>
      <c r="V76" s="341"/>
      <c r="W76" s="341"/>
      <c r="X76" s="341"/>
      <c r="Y76" s="97"/>
    </row>
    <row r="77" spans="4:25">
      <c r="D77" s="1454" t="str">
        <f>back_to_index</f>
        <v>Back to contents</v>
      </c>
      <c r="E77" s="1454"/>
      <c r="F77" s="33"/>
      <c r="G77" s="33"/>
      <c r="H77" s="33"/>
      <c r="I77" s="33"/>
      <c r="J77" s="1551" t="str">
        <f>page_prefix &amp; page_ratesensitising &amp; page_suffix</f>
        <v>- Page 8 -</v>
      </c>
      <c r="K77" s="1552"/>
      <c r="L77" s="1552"/>
      <c r="M77" s="1552"/>
      <c r="N77" s="1552"/>
      <c r="O77" s="1552"/>
      <c r="P77" s="1552"/>
      <c r="Q77" s="33"/>
      <c r="R77" s="33"/>
      <c r="S77" s="33"/>
      <c r="V77" s="1570" t="str">
        <f>back_to_top</f>
        <v>Back to top</v>
      </c>
      <c r="W77" s="1570"/>
      <c r="X77" s="343"/>
      <c r="Y77" s="33"/>
    </row>
    <row r="78" spans="4:25">
      <c r="D78" s="344"/>
      <c r="E78" s="344"/>
      <c r="F78" s="33"/>
      <c r="G78" s="33"/>
      <c r="H78" s="33"/>
      <c r="I78" s="33"/>
      <c r="J78" s="1551" t="str">
        <f>copyright</f>
        <v>Copyright (c) 2009 Tykoh Group Pty Limited</v>
      </c>
      <c r="K78" s="1552"/>
      <c r="L78" s="1552"/>
      <c r="M78" s="1552"/>
      <c r="N78" s="1552"/>
      <c r="O78" s="1552"/>
      <c r="P78" s="1552"/>
      <c r="Q78" s="33"/>
      <c r="R78" s="33"/>
      <c r="S78" s="33"/>
      <c r="V78" s="230"/>
      <c r="W78" s="230"/>
      <c r="X78" s="230"/>
      <c r="Y78" s="33"/>
    </row>
    <row r="79" spans="4:25">
      <c r="D79" s="33"/>
      <c r="E79" s="33"/>
      <c r="F79" s="33"/>
      <c r="G79" s="33"/>
      <c r="H79" s="33"/>
      <c r="I79" s="33"/>
      <c r="J79" s="1452" t="str">
        <f>home_address</f>
        <v>www.tykoh.com</v>
      </c>
      <c r="K79" s="1452"/>
      <c r="L79" s="1452"/>
      <c r="M79" s="1452"/>
      <c r="N79" s="1452"/>
      <c r="O79" s="1452"/>
      <c r="P79" s="1452"/>
      <c r="Q79" s="33"/>
      <c r="R79" s="33"/>
      <c r="S79" s="33"/>
      <c r="T79" s="33"/>
      <c r="U79" s="33"/>
      <c r="V79" s="33"/>
      <c r="W79" s="33"/>
      <c r="X79" s="80"/>
      <c r="Y79" s="33"/>
    </row>
    <row r="80" spans="4:25" s="33" customFormat="1">
      <c r="J80" s="80"/>
      <c r="K80" s="80"/>
      <c r="L80" s="80"/>
      <c r="M80" s="80"/>
      <c r="N80" s="80"/>
      <c r="O80" s="80"/>
      <c r="P80" s="80"/>
      <c r="X80" s="80"/>
    </row>
  </sheetData>
  <sheetProtection algorithmName="SHA-512" hashValue="JW66kWh2JL64YLlo/JqzsEfvfBiCv1tlf4J1FoJ4YU38ePeSOS5Xrjx5+MFK8LRGGfMusDLOY4OWFu1W+uKkWA==" saltValue="qLohE1r++I0b9hLpZiInOA==" spinCount="100000" sheet="1" objects="1" scenarios="1"/>
  <mergeCells count="21">
    <mergeCell ref="S4:X8"/>
    <mergeCell ref="D16:X17"/>
    <mergeCell ref="J2:P2"/>
    <mergeCell ref="C6:Q8"/>
    <mergeCell ref="C10:X11"/>
    <mergeCell ref="J77:P77"/>
    <mergeCell ref="J79:P79"/>
    <mergeCell ref="D22:W22"/>
    <mergeCell ref="H24:K24"/>
    <mergeCell ref="L24:O24"/>
    <mergeCell ref="P24:S24"/>
    <mergeCell ref="T24:W24"/>
    <mergeCell ref="P40:S40"/>
    <mergeCell ref="T40:W40"/>
    <mergeCell ref="D38:W38"/>
    <mergeCell ref="D77:E77"/>
    <mergeCell ref="J78:P78"/>
    <mergeCell ref="D62:W62"/>
    <mergeCell ref="V77:W77"/>
    <mergeCell ref="H40:K40"/>
    <mergeCell ref="L40:O40"/>
  </mergeCells>
  <phoneticPr fontId="2" type="noConversion"/>
  <dataValidations count="5">
    <dataValidation type="list" allowBlank="1" showInputMessage="1" showErrorMessage="1" sqref="F43:F48" xr:uid="{00000000-0002-0000-0900-000000000000}">
      <formula1>"Q1,Q2,Q3,Q4"</formula1>
    </dataValidation>
    <dataValidation type="list" allowBlank="1" showInputMessage="1" showErrorMessage="1" sqref="E43:E48" xr:uid="{00000000-0002-0000-0900-000001000000}">
      <formula1>"1,2,4"</formula1>
    </dataValidation>
    <dataValidation type="list" allowBlank="1" showInputMessage="1" showErrorMessage="1" sqref="D43:D48" xr:uid="{00000000-0002-0000-0900-000002000000}">
      <formula1>"3,2,1,0,-1,-2,-3"</formula1>
    </dataValidation>
    <dataValidation type="list" allowBlank="1" showInputMessage="1" showErrorMessage="1" sqref="G43:G48" xr:uid="{00000000-0002-0000-0900-000003000000}">
      <formula1>"1,2,3,4"</formula1>
    </dataValidation>
    <dataValidation type="list" allowBlank="1" showInputMessage="1" showErrorMessage="1" sqref="U25 P25 K25 I25" xr:uid="{00000000-0002-0000-0900-000004000000}">
      <formula1>$E$27:$E$35</formula1>
    </dataValidation>
  </dataValidations>
  <hyperlinks>
    <hyperlink ref="V77:W77" location="hh_ratesensitising" display="hh_ratesensitising" xr:uid="{00000000-0004-0000-0900-000000000000}"/>
    <hyperlink ref="D77:E77" location="hh_index" display="hh_index" xr:uid="{00000000-0004-0000-0900-000001000000}"/>
    <hyperlink ref="J79:P79" r:id="rId1" display="https://www.tykoh.com/" xr:uid="{00000000-0004-0000-0900-000002000000}"/>
  </hyperlinks>
  <pageMargins left="0.75" right="0.75" top="1" bottom="1" header="0.5" footer="0.5"/>
  <pageSetup scale="66" orientation="portrait"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O72"/>
  <sheetViews>
    <sheetView showGridLines="0" showRowColHeaders="0" workbookViewId="0"/>
  </sheetViews>
  <sheetFormatPr defaultColWidth="0" defaultRowHeight="12.5" zeroHeight="1"/>
  <cols>
    <col min="1" max="2" width="1" style="32" customWidth="1"/>
    <col min="3" max="3" width="9.81640625" style="32" customWidth="1"/>
    <col min="4" max="4" width="7.81640625" style="32" customWidth="1"/>
    <col min="5" max="5" width="7.453125" style="32" customWidth="1"/>
    <col min="6" max="6" width="2.453125" style="32" customWidth="1"/>
    <col min="7" max="15" width="10.1796875" style="32" customWidth="1"/>
    <col min="16" max="16" width="1.81640625" style="32" customWidth="1"/>
    <col min="17" max="16384" width="0" style="32" hidden="1"/>
  </cols>
  <sheetData>
    <row r="1" spans="1:15"/>
    <row r="2" spans="1:15">
      <c r="C2" s="103"/>
      <c r="D2" s="103"/>
      <c r="E2" s="103"/>
      <c r="F2" s="103"/>
      <c r="G2" s="103"/>
      <c r="H2" s="1494"/>
      <c r="I2" s="1494"/>
      <c r="J2" s="1494"/>
      <c r="K2" s="1494"/>
      <c r="L2" s="103"/>
      <c r="M2" s="103"/>
      <c r="N2" s="103"/>
      <c r="O2" s="103"/>
    </row>
    <row r="3" spans="1:15" ht="16" thickBot="1">
      <c r="C3" s="416" t="s">
        <v>1360</v>
      </c>
    </row>
    <row r="4" spans="1:15" ht="13" thickTop="1">
      <c r="M4" s="1521" t="str">
        <f ca="1">OFFSET(ad_first,OFFSET(ads_top,ROW(ads_interpolating)-1,1),0)</f>
        <v>Feedback from our Visual Basic course: "The material covered will be very useful at work as the CD and workbook provided"</v>
      </c>
      <c r="N4" s="1522"/>
      <c r="O4" s="1523"/>
    </row>
    <row r="5" spans="1:15">
      <c r="C5" s="1550" t="s">
        <v>1156</v>
      </c>
      <c r="D5" s="1518"/>
      <c r="E5" s="1518"/>
      <c r="F5" s="1518"/>
      <c r="G5" s="1518"/>
      <c r="H5" s="1518"/>
      <c r="I5" s="1518"/>
      <c r="J5" s="1518"/>
      <c r="K5" s="1518"/>
      <c r="L5" s="1518"/>
      <c r="M5" s="1524"/>
      <c r="N5" s="1525"/>
      <c r="O5" s="1526"/>
    </row>
    <row r="6" spans="1:15">
      <c r="C6" s="1518"/>
      <c r="D6" s="1518"/>
      <c r="E6" s="1518"/>
      <c r="F6" s="1518"/>
      <c r="G6" s="1518"/>
      <c r="H6" s="1518"/>
      <c r="I6" s="1518"/>
      <c r="J6" s="1518"/>
      <c r="K6" s="1518"/>
      <c r="L6" s="1518"/>
      <c r="M6" s="1524"/>
      <c r="N6" s="1525"/>
      <c r="O6" s="1526"/>
    </row>
    <row r="7" spans="1:15">
      <c r="C7" s="1518"/>
      <c r="D7" s="1518"/>
      <c r="E7" s="1518"/>
      <c r="F7" s="1518"/>
      <c r="G7" s="1518"/>
      <c r="H7" s="1518"/>
      <c r="I7" s="1518"/>
      <c r="J7" s="1518"/>
      <c r="K7" s="1518"/>
      <c r="L7" s="1518"/>
      <c r="M7" s="1524"/>
      <c r="N7" s="1525"/>
      <c r="O7" s="1526"/>
    </row>
    <row r="8" spans="1:15" ht="13" thickBot="1">
      <c r="C8" s="1518"/>
      <c r="D8" s="1518"/>
      <c r="E8" s="1518"/>
      <c r="F8" s="1518"/>
      <c r="G8" s="1518"/>
      <c r="H8" s="1518"/>
      <c r="I8" s="1518"/>
      <c r="J8" s="1518"/>
      <c r="K8" s="1518"/>
      <c r="L8" s="1518"/>
      <c r="M8" s="1527"/>
      <c r="N8" s="1528"/>
      <c r="O8" s="1529"/>
    </row>
    <row r="9" spans="1:15" ht="13" thickTop="1">
      <c r="C9" s="619"/>
      <c r="D9" s="619"/>
      <c r="E9" s="619"/>
      <c r="F9" s="619"/>
      <c r="G9" s="619"/>
      <c r="H9" s="619"/>
      <c r="I9" s="619"/>
      <c r="J9" s="619"/>
      <c r="K9" s="619"/>
      <c r="L9" s="619"/>
      <c r="M9" s="1310"/>
      <c r="N9" s="1311"/>
      <c r="O9" s="1311"/>
    </row>
    <row r="10" spans="1:15" ht="13">
      <c r="A10" s="33"/>
      <c r="B10" s="33"/>
      <c r="C10" s="128" t="str">
        <f>functions_used_2</f>
        <v>Spreadsheet functions used in these examples</v>
      </c>
      <c r="D10" s="83"/>
      <c r="E10" s="129"/>
      <c r="F10" s="129"/>
      <c r="G10" s="129"/>
      <c r="H10" s="129"/>
      <c r="I10" s="129"/>
      <c r="J10" s="129"/>
      <c r="K10" s="129"/>
      <c r="L10" s="129"/>
      <c r="M10" s="1322"/>
      <c r="N10" s="1322"/>
      <c r="O10" s="1319"/>
    </row>
    <row r="11" spans="1:15">
      <c r="A11" s="33"/>
      <c r="B11" s="33"/>
      <c r="C11" s="83" t="str">
        <f>functions_interpolating</f>
        <v>INT, LOOKUP, MATCH, MINVERSE, MMULT, OFFSET, ROW, TEXT, TREND</v>
      </c>
      <c r="D11" s="83"/>
      <c r="E11" s="129"/>
      <c r="F11" s="129"/>
      <c r="G11" s="129"/>
      <c r="H11" s="129"/>
      <c r="I11" s="129"/>
      <c r="J11" s="129"/>
      <c r="K11" s="129"/>
      <c r="L11" s="129"/>
      <c r="M11" s="129"/>
      <c r="N11" s="129"/>
      <c r="O11" s="83"/>
    </row>
    <row r="12" spans="1:15" s="125" customFormat="1">
      <c r="C12" s="450"/>
      <c r="D12" s="80"/>
      <c r="E12" s="80"/>
      <c r="F12" s="476"/>
      <c r="G12" s="476"/>
      <c r="H12" s="129"/>
      <c r="I12" s="129"/>
      <c r="J12" s="129"/>
      <c r="K12" s="129"/>
      <c r="L12" s="129"/>
      <c r="M12" s="129"/>
      <c r="N12" s="129"/>
      <c r="O12" s="83"/>
    </row>
    <row r="13" spans="1:15" s="125" customFormat="1">
      <c r="C13" s="1574" t="s">
        <v>178</v>
      </c>
      <c r="D13" s="1574"/>
      <c r="E13" s="1574"/>
      <c r="F13" s="1574"/>
      <c r="G13" s="1574"/>
      <c r="H13" s="1574"/>
      <c r="I13" s="1574"/>
      <c r="J13" s="1574"/>
      <c r="K13" s="1574"/>
      <c r="L13" s="1574"/>
      <c r="M13" s="1574"/>
      <c r="N13" s="1574"/>
      <c r="O13" s="1574"/>
    </row>
    <row r="14" spans="1:15" s="125" customFormat="1" ht="6.75" customHeight="1">
      <c r="C14" s="450"/>
      <c r="D14" s="80"/>
      <c r="E14" s="80"/>
      <c r="F14" s="476"/>
      <c r="G14" s="476"/>
      <c r="H14" s="129"/>
      <c r="I14" s="129"/>
      <c r="J14" s="129"/>
      <c r="K14" s="129"/>
      <c r="L14" s="129"/>
      <c r="M14" s="129"/>
      <c r="N14" s="129"/>
      <c r="O14" s="83"/>
    </row>
    <row r="15" spans="1:15" s="125" customFormat="1" ht="13">
      <c r="C15" s="1571" t="s">
        <v>1354</v>
      </c>
      <c r="D15" s="1572"/>
      <c r="E15" s="1573"/>
      <c r="F15" s="272"/>
      <c r="G15" s="272"/>
      <c r="H15" s="129"/>
      <c r="I15" s="129"/>
      <c r="J15" s="129"/>
      <c r="K15" s="129"/>
      <c r="L15" s="129"/>
      <c r="M15" s="129"/>
      <c r="N15" s="129"/>
      <c r="O15" s="83"/>
    </row>
    <row r="16" spans="1:15" s="125" customFormat="1" ht="13">
      <c r="C16" s="477" t="s">
        <v>1485</v>
      </c>
      <c r="D16" s="478"/>
      <c r="E16" s="479" t="s">
        <v>1486</v>
      </c>
      <c r="F16" s="229"/>
      <c r="G16" s="229"/>
      <c r="H16" s="129"/>
      <c r="I16" s="129"/>
      <c r="J16" s="129"/>
      <c r="K16" s="129"/>
      <c r="L16" s="129"/>
      <c r="M16" s="129"/>
      <c r="N16" s="129"/>
      <c r="O16" s="83"/>
    </row>
    <row r="17" spans="3:15" s="125" customFormat="1">
      <c r="C17" s="480">
        <v>0</v>
      </c>
      <c r="D17" s="356"/>
      <c r="E17" s="468">
        <v>-2</v>
      </c>
      <c r="F17" s="229"/>
      <c r="G17" s="229"/>
      <c r="H17" s="129"/>
      <c r="I17" s="129"/>
      <c r="J17" s="129"/>
      <c r="K17" s="129"/>
      <c r="L17" s="129"/>
      <c r="M17" s="129"/>
      <c r="N17" s="129"/>
      <c r="O17" s="83"/>
    </row>
    <row r="18" spans="3:15" s="125" customFormat="1">
      <c r="C18" s="480">
        <f>C17+1</f>
        <v>1</v>
      </c>
      <c r="D18" s="356"/>
      <c r="E18" s="468">
        <v>-3</v>
      </c>
      <c r="F18" s="481"/>
      <c r="G18" s="481"/>
      <c r="H18" s="129"/>
      <c r="I18" s="129"/>
      <c r="J18" s="129"/>
      <c r="K18" s="129"/>
      <c r="L18" s="129"/>
      <c r="M18" s="129"/>
      <c r="N18" s="129"/>
      <c r="O18" s="83"/>
    </row>
    <row r="19" spans="3:15" s="125" customFormat="1">
      <c r="C19" s="480">
        <f>C18+1</f>
        <v>2</v>
      </c>
      <c r="D19" s="356"/>
      <c r="E19" s="468">
        <v>2</v>
      </c>
      <c r="F19" s="481"/>
      <c r="G19" s="481"/>
      <c r="H19" s="129"/>
      <c r="I19" s="129"/>
      <c r="J19" s="129"/>
      <c r="K19" s="129"/>
      <c r="L19" s="129"/>
      <c r="M19" s="129"/>
      <c r="N19" s="129"/>
      <c r="O19" s="83"/>
    </row>
    <row r="20" spans="3:15" s="125" customFormat="1">
      <c r="C20" s="480">
        <f>C19+1</f>
        <v>3</v>
      </c>
      <c r="D20" s="356"/>
      <c r="E20" s="468">
        <v>1</v>
      </c>
      <c r="F20" s="481"/>
      <c r="G20" s="481"/>
      <c r="H20" s="129"/>
      <c r="I20" s="129"/>
      <c r="J20" s="129"/>
      <c r="K20" s="129"/>
      <c r="L20" s="129"/>
      <c r="M20" s="129"/>
      <c r="N20" s="129"/>
      <c r="O20" s="83"/>
    </row>
    <row r="21" spans="3:15" s="125" customFormat="1">
      <c r="C21" s="482">
        <f>C20+1</f>
        <v>4</v>
      </c>
      <c r="D21" s="483"/>
      <c r="E21" s="449">
        <v>3</v>
      </c>
      <c r="F21" s="484"/>
      <c r="G21" s="484"/>
      <c r="H21" s="129"/>
      <c r="I21" s="129"/>
      <c r="J21" s="129"/>
      <c r="K21" s="129"/>
      <c r="L21" s="129"/>
      <c r="M21" s="129"/>
      <c r="N21" s="129"/>
      <c r="O21" s="83"/>
    </row>
    <row r="22" spans="3:15" s="125" customFormat="1" ht="13">
      <c r="C22" s="32"/>
      <c r="D22" s="32"/>
      <c r="E22" s="485"/>
      <c r="F22" s="485"/>
      <c r="G22" s="485"/>
      <c r="H22" s="129"/>
      <c r="I22" s="129"/>
      <c r="J22" s="129"/>
      <c r="K22" s="129"/>
      <c r="L22" s="129"/>
      <c r="M22" s="129"/>
      <c r="N22" s="129"/>
      <c r="O22" s="83"/>
    </row>
    <row r="23" spans="3:15" s="125" customFormat="1">
      <c r="C23" s="486" t="s">
        <v>1497</v>
      </c>
      <c r="D23" s="487"/>
      <c r="E23" s="441">
        <v>3.5</v>
      </c>
      <c r="H23" s="129"/>
      <c r="I23" s="129"/>
      <c r="J23" s="129"/>
      <c r="K23" s="129"/>
      <c r="L23" s="129"/>
      <c r="M23" s="129"/>
      <c r="N23" s="129"/>
      <c r="O23" s="83"/>
    </row>
    <row r="24" spans="3:15" s="125" customFormat="1">
      <c r="C24" s="450"/>
      <c r="D24" s="80"/>
      <c r="E24" s="80"/>
      <c r="F24" s="476"/>
      <c r="G24" s="476"/>
      <c r="H24" s="129"/>
      <c r="I24" s="129"/>
      <c r="J24" s="129"/>
      <c r="K24" s="129"/>
      <c r="L24" s="129"/>
      <c r="M24" s="129"/>
      <c r="N24" s="129"/>
      <c r="O24" s="83"/>
    </row>
    <row r="25" spans="3:15" s="125" customFormat="1">
      <c r="C25" s="488" t="str">
        <f>"   When X is " &amp; TEXT(Interpolating_calcs!B15,"0.00")  &amp; " Y is " &amp; TEXT(Interpolating_calcs!C17,"0.00")</f>
        <v xml:space="preserve">   When X is 3.50 Y is 1.00</v>
      </c>
      <c r="D25" s="489"/>
      <c r="E25" s="490"/>
      <c r="F25" s="476"/>
      <c r="G25" s="476"/>
      <c r="H25" s="129"/>
      <c r="I25" s="129"/>
      <c r="J25" s="129"/>
      <c r="K25" s="129"/>
      <c r="L25" s="129"/>
      <c r="M25" s="129"/>
      <c r="N25" s="129"/>
      <c r="O25" s="83"/>
    </row>
    <row r="26" spans="3:15" s="125" customFormat="1">
      <c r="C26" s="450"/>
      <c r="D26" s="80"/>
      <c r="E26" s="80"/>
      <c r="F26" s="476"/>
      <c r="G26" s="476"/>
      <c r="H26" s="129"/>
      <c r="I26" s="129"/>
      <c r="J26" s="129"/>
      <c r="K26" s="129"/>
      <c r="L26" s="129"/>
      <c r="M26" s="129"/>
      <c r="N26" s="129"/>
      <c r="O26" s="83"/>
    </row>
    <row r="27" spans="3:15">
      <c r="C27" s="1574" t="s">
        <v>179</v>
      </c>
      <c r="D27" s="1574"/>
      <c r="E27" s="1574"/>
      <c r="F27" s="1574"/>
      <c r="G27" s="1574"/>
      <c r="H27" s="1574"/>
      <c r="I27" s="1574"/>
      <c r="J27" s="1574"/>
      <c r="K27" s="1574"/>
      <c r="L27" s="1574"/>
      <c r="M27" s="1574"/>
      <c r="N27" s="1574"/>
      <c r="O27" s="1574"/>
    </row>
    <row r="28" spans="3:15" ht="7.5" customHeight="1"/>
    <row r="29" spans="3:15" ht="13">
      <c r="C29" s="1571" t="s">
        <v>1354</v>
      </c>
      <c r="D29" s="1572"/>
      <c r="E29" s="1573"/>
      <c r="F29" s="272"/>
      <c r="G29" s="272"/>
      <c r="H29" s="272"/>
      <c r="I29" s="272"/>
      <c r="J29" s="272"/>
      <c r="K29" s="272"/>
      <c r="L29" s="272"/>
      <c r="M29" s="125"/>
    </row>
    <row r="30" spans="3:15" ht="13">
      <c r="C30" s="477" t="s">
        <v>1485</v>
      </c>
      <c r="D30" s="478"/>
      <c r="E30" s="479" t="s">
        <v>1486</v>
      </c>
      <c r="F30" s="229"/>
      <c r="G30" s="229"/>
      <c r="H30" s="491"/>
      <c r="I30" s="491"/>
      <c r="J30" s="492"/>
      <c r="K30" s="493"/>
      <c r="L30" s="493"/>
    </row>
    <row r="31" spans="3:15">
      <c r="C31" s="480">
        <v>0</v>
      </c>
      <c r="D31" s="356"/>
      <c r="E31" s="468">
        <v>-2</v>
      </c>
      <c r="F31" s="229"/>
      <c r="G31" s="229"/>
      <c r="H31" s="229"/>
      <c r="I31" s="229"/>
      <c r="J31" s="229"/>
    </row>
    <row r="32" spans="3:15">
      <c r="C32" s="480">
        <f>C31+1</f>
        <v>1</v>
      </c>
      <c r="D32" s="356"/>
      <c r="E32" s="468">
        <v>-3</v>
      </c>
      <c r="F32" s="481"/>
      <c r="G32" s="481"/>
      <c r="H32" s="481"/>
      <c r="I32" s="481"/>
      <c r="J32" s="481"/>
      <c r="K32" s="484"/>
      <c r="L32" s="484"/>
    </row>
    <row r="33" spans="3:15">
      <c r="C33" s="480">
        <f>C32+1</f>
        <v>2</v>
      </c>
      <c r="D33" s="356"/>
      <c r="E33" s="468">
        <v>2</v>
      </c>
      <c r="F33" s="481"/>
      <c r="G33" s="481"/>
      <c r="H33" s="481"/>
      <c r="I33" s="481"/>
      <c r="J33" s="481"/>
      <c r="K33" s="484"/>
      <c r="L33" s="484"/>
    </row>
    <row r="34" spans="3:15">
      <c r="C34" s="480">
        <f>C33+1</f>
        <v>3</v>
      </c>
      <c r="D34" s="356"/>
      <c r="E34" s="468">
        <v>1</v>
      </c>
      <c r="F34" s="481"/>
      <c r="G34" s="481"/>
      <c r="H34" s="481"/>
      <c r="I34" s="481"/>
      <c r="J34" s="481"/>
      <c r="K34" s="484"/>
      <c r="L34" s="484"/>
    </row>
    <row r="35" spans="3:15">
      <c r="C35" s="482">
        <f>C34+1</f>
        <v>4</v>
      </c>
      <c r="D35" s="483"/>
      <c r="E35" s="449">
        <v>3</v>
      </c>
      <c r="F35" s="484"/>
      <c r="G35" s="484"/>
      <c r="H35" s="484"/>
      <c r="I35" s="484"/>
      <c r="J35" s="484"/>
      <c r="K35" s="484"/>
      <c r="L35" s="484"/>
    </row>
    <row r="36" spans="3:15" ht="5.25" customHeight="1">
      <c r="E36" s="485"/>
      <c r="F36" s="485"/>
      <c r="G36" s="485"/>
      <c r="H36" s="485"/>
      <c r="I36" s="485"/>
      <c r="J36" s="485"/>
      <c r="K36" s="485"/>
      <c r="L36" s="485"/>
    </row>
    <row r="37" spans="3:15" s="33" customFormat="1">
      <c r="C37" s="486" t="s">
        <v>1497</v>
      </c>
      <c r="D37" s="487"/>
      <c r="E37" s="441">
        <v>3.5</v>
      </c>
      <c r="H37" s="80"/>
      <c r="L37" s="80"/>
    </row>
    <row r="38" spans="3:15"/>
    <row r="39" spans="3:15">
      <c r="C39" s="488" t="str">
        <f ca="1">"   When X is " &amp; TEXT(Interpolating_calcs!B3,"0.00")  &amp; " Y is " &amp; TEXT(Interpolating_calcs!C10,"0.00")</f>
        <v xml:space="preserve">   When X is 3.50 Y is 2.00</v>
      </c>
      <c r="D39" s="489"/>
      <c r="E39" s="490"/>
    </row>
    <row r="40" spans="3:15"/>
    <row r="41" spans="3:15">
      <c r="C41" s="1574" t="s">
        <v>1155</v>
      </c>
      <c r="D41" s="1574"/>
      <c r="E41" s="1574"/>
      <c r="F41" s="1574"/>
      <c r="G41" s="1574"/>
      <c r="H41" s="1574"/>
      <c r="I41" s="1574"/>
      <c r="J41" s="1574"/>
      <c r="K41" s="1574"/>
      <c r="L41" s="1574"/>
      <c r="M41" s="1574"/>
      <c r="N41" s="1574"/>
      <c r="O41" s="1574"/>
    </row>
    <row r="42" spans="3:15" ht="6.75" customHeight="1"/>
    <row r="43" spans="3:15" ht="13">
      <c r="C43" s="1571" t="s">
        <v>1354</v>
      </c>
      <c r="D43" s="1572"/>
      <c r="E43" s="1573"/>
      <c r="F43" s="272"/>
      <c r="G43" s="272"/>
    </row>
    <row r="44" spans="3:15" ht="13">
      <c r="C44" s="477" t="s">
        <v>1485</v>
      </c>
      <c r="D44" s="478"/>
      <c r="E44" s="479" t="s">
        <v>1486</v>
      </c>
    </row>
    <row r="45" spans="3:15">
      <c r="C45" s="480">
        <v>0</v>
      </c>
      <c r="D45" s="356"/>
      <c r="E45" s="468">
        <v>-2</v>
      </c>
    </row>
    <row r="46" spans="3:15">
      <c r="C46" s="480">
        <f>C45+1</f>
        <v>1</v>
      </c>
      <c r="D46" s="356"/>
      <c r="E46" s="468">
        <v>-3</v>
      </c>
    </row>
    <row r="47" spans="3:15">
      <c r="C47" s="480">
        <f>C46+1</f>
        <v>2</v>
      </c>
      <c r="D47" s="356"/>
      <c r="E47" s="468">
        <v>2</v>
      </c>
    </row>
    <row r="48" spans="3:15">
      <c r="C48" s="480">
        <f>C47+1</f>
        <v>3</v>
      </c>
      <c r="D48" s="356"/>
      <c r="E48" s="468">
        <v>1</v>
      </c>
    </row>
    <row r="49" spans="3:15">
      <c r="C49" s="482">
        <f>C48+1</f>
        <v>4</v>
      </c>
      <c r="D49" s="483"/>
      <c r="E49" s="449">
        <v>3</v>
      </c>
    </row>
    <row r="50" spans="3:15"/>
    <row r="51" spans="3:15">
      <c r="C51" s="494" t="s">
        <v>1497</v>
      </c>
      <c r="D51" s="495"/>
      <c r="E51" s="441">
        <v>3.5</v>
      </c>
      <c r="M51" s="270"/>
      <c r="N51" s="270"/>
      <c r="O51" s="270"/>
    </row>
    <row r="52" spans="3:15"/>
    <row r="53" spans="3:15">
      <c r="C53" s="496" t="str">
        <f ca="1">Interpolating_calcs_2!D19</f>
        <v>When X is 3.50 Y is 1.50</v>
      </c>
      <c r="D53" s="496"/>
      <c r="E53" s="496"/>
    </row>
    <row r="54" spans="3:15"/>
    <row r="55" spans="3:15">
      <c r="C55" s="1574" t="s">
        <v>1458</v>
      </c>
      <c r="D55" s="1574"/>
      <c r="E55" s="1574"/>
      <c r="F55" s="1574"/>
      <c r="G55" s="1574"/>
      <c r="H55" s="1574"/>
      <c r="I55" s="1574"/>
      <c r="J55" s="1574"/>
      <c r="K55" s="1574"/>
      <c r="L55" s="1574"/>
      <c r="M55" s="1574"/>
      <c r="N55" s="1574"/>
      <c r="O55" s="1574"/>
    </row>
    <row r="56" spans="3:15" ht="6.75" customHeight="1"/>
    <row r="57" spans="3:15" ht="13">
      <c r="C57" s="1571" t="s">
        <v>1459</v>
      </c>
      <c r="D57" s="1572"/>
      <c r="E57" s="1573"/>
    </row>
    <row r="58" spans="3:15" ht="13">
      <c r="C58" s="477" t="s">
        <v>1485</v>
      </c>
      <c r="D58" s="478"/>
      <c r="E58" s="479" t="s">
        <v>1486</v>
      </c>
    </row>
    <row r="59" spans="3:15">
      <c r="C59" s="480">
        <v>0</v>
      </c>
      <c r="D59" s="356"/>
      <c r="E59" s="468">
        <v>-2</v>
      </c>
    </row>
    <row r="60" spans="3:15">
      <c r="C60" s="497">
        <v>1</v>
      </c>
      <c r="D60" s="356"/>
      <c r="E60" s="468">
        <v>-3</v>
      </c>
    </row>
    <row r="61" spans="3:15">
      <c r="C61" s="497">
        <v>2</v>
      </c>
      <c r="D61" s="356"/>
      <c r="E61" s="468">
        <v>2</v>
      </c>
    </row>
    <row r="62" spans="3:15">
      <c r="C62" s="497">
        <v>3</v>
      </c>
      <c r="D62" s="356"/>
      <c r="E62" s="468">
        <v>1</v>
      </c>
    </row>
    <row r="63" spans="3:15">
      <c r="C63" s="482">
        <v>4</v>
      </c>
      <c r="D63" s="483"/>
      <c r="E63" s="449">
        <v>3</v>
      </c>
    </row>
    <row r="64" spans="3:15"/>
    <row r="65" spans="3:15">
      <c r="C65" s="494" t="s">
        <v>1497</v>
      </c>
      <c r="D65" s="495"/>
      <c r="E65" s="441">
        <v>3.5</v>
      </c>
    </row>
    <row r="66" spans="3:15"/>
    <row r="67" spans="3:15">
      <c r="C67" s="496" t="str">
        <f>"   When X is " &amp; TEXT(Interpolating_calcs!A40,"0.00")  &amp; " Y is " &amp; TEXT(Interpolating_calcs!B40,"0.00")</f>
        <v xml:space="preserve">   When X is 3.50 Y is 2.30</v>
      </c>
      <c r="D67" s="496"/>
      <c r="E67" s="496"/>
    </row>
    <row r="68" spans="3:15"/>
    <row r="69" spans="3:15">
      <c r="C69" s="1454" t="str">
        <f>back_to_index</f>
        <v>Back to contents</v>
      </c>
      <c r="D69" s="1454"/>
      <c r="H69" s="1530" t="str">
        <f>page_prefix &amp; page_Interpolating &amp; page_suffix</f>
        <v>- Page 9 -</v>
      </c>
      <c r="I69" s="1530"/>
      <c r="J69" s="1530"/>
      <c r="K69" s="1530"/>
      <c r="N69" s="1485" t="str">
        <f>back_to_top</f>
        <v>Back to top</v>
      </c>
      <c r="O69" s="1485"/>
    </row>
    <row r="70" spans="3:15">
      <c r="H70" s="1530" t="str">
        <f>copyright</f>
        <v>Copyright (c) 2009 Tykoh Group Pty Limited</v>
      </c>
      <c r="I70" s="1530"/>
      <c r="J70" s="1530"/>
      <c r="K70" s="1530"/>
    </row>
    <row r="71" spans="3:15">
      <c r="H71" s="1452" t="str">
        <f>home_address</f>
        <v>www.tykoh.com</v>
      </c>
      <c r="I71" s="1452"/>
      <c r="J71" s="1452"/>
      <c r="K71" s="1452"/>
    </row>
    <row r="72" spans="3:15"/>
  </sheetData>
  <sheetProtection algorithmName="SHA-512" hashValue="lRpKklbvJs/s94lIsCat62cR8G+Y+k3mb6uo2nHb8sD/PTB2lDWBFRGsi6FHcK5aRAoY8y9jUYZpDB6cA85WHg==" saltValue="39k3SLzZM1f41Bq+A3nW3w==" spinCount="100000" sheet="1" objects="1" scenarios="1"/>
  <mergeCells count="16">
    <mergeCell ref="H2:K2"/>
    <mergeCell ref="C41:O41"/>
    <mergeCell ref="C27:O27"/>
    <mergeCell ref="C29:E29"/>
    <mergeCell ref="C5:L8"/>
    <mergeCell ref="M4:O8"/>
    <mergeCell ref="H70:K70"/>
    <mergeCell ref="H71:K71"/>
    <mergeCell ref="C43:E43"/>
    <mergeCell ref="C13:O13"/>
    <mergeCell ref="C15:E15"/>
    <mergeCell ref="C55:O55"/>
    <mergeCell ref="C57:E57"/>
    <mergeCell ref="N69:O69"/>
    <mergeCell ref="H69:K69"/>
    <mergeCell ref="C69:D69"/>
  </mergeCells>
  <phoneticPr fontId="2" type="noConversion"/>
  <conditionalFormatting sqref="F14:G14 F24:G26 F12:G12">
    <cfRule type="cellIs" dxfId="83" priority="1" stopIfTrue="1" operator="equal">
      <formula>1</formula>
    </cfRule>
    <cfRule type="cellIs" dxfId="82" priority="2" stopIfTrue="1" operator="equal">
      <formula>2</formula>
    </cfRule>
    <cfRule type="cellIs" dxfId="81" priority="3" stopIfTrue="1" operator="equal">
      <formula>3</formula>
    </cfRule>
  </conditionalFormatting>
  <dataValidations count="3">
    <dataValidation type="decimal" allowBlank="1" showInputMessage="1" showErrorMessage="1" error="Enter a number between 0 and 4" sqref="E51 E23 E37 E65" xr:uid="{00000000-0002-0000-0A00-000000000000}">
      <formula1>0</formula1>
      <formula2>4</formula2>
    </dataValidation>
    <dataValidation type="list" allowBlank="1" showInputMessage="1" showErrorMessage="1" sqref="E31:E35 E45:E49 E59:E63 E17:E21" xr:uid="{00000000-0002-0000-0A00-000001000000}">
      <formula1>"3,2,1,0,-1,-2,-3"</formula1>
    </dataValidation>
    <dataValidation type="list" allowBlank="1" showInputMessage="1" showErrorMessage="1" sqref="C60:C62" xr:uid="{00000000-0002-0000-0A00-000002000000}">
      <formula1>"0,1,2,3,4"</formula1>
    </dataValidation>
  </dataValidations>
  <hyperlinks>
    <hyperlink ref="N69:O69" location="hh_interpolating" display="hh_interpolating" xr:uid="{00000000-0004-0000-0A00-000000000000}"/>
    <hyperlink ref="C69:D69" location="hh_index" display="hh_index" xr:uid="{00000000-0004-0000-0A00-000001000000}"/>
    <hyperlink ref="H71:K71" r:id="rId1" display="https://www.tykoh.com/" xr:uid="{00000000-0004-0000-0A00-000002000000}"/>
  </hyperlinks>
  <pageMargins left="0.75" right="0.75" top="1" bottom="1" header="0.5" footer="0.5"/>
  <pageSetup scale="74" orientation="portrait"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L50"/>
  <sheetViews>
    <sheetView workbookViewId="0">
      <selection sqref="A1:IV65536"/>
    </sheetView>
  </sheetViews>
  <sheetFormatPr defaultRowHeight="12.5"/>
  <cols>
    <col min="1" max="2" width="1" customWidth="1"/>
  </cols>
  <sheetData>
    <row r="1" spans="1:4" ht="13">
      <c r="A1" s="111" t="s">
        <v>1443</v>
      </c>
    </row>
    <row r="3" spans="1:4">
      <c r="A3" t="s">
        <v>1355</v>
      </c>
      <c r="B3" s="110">
        <f>Interpolating!E37</f>
        <v>3.5</v>
      </c>
    </row>
    <row r="4" spans="1:4">
      <c r="C4" s="29" t="s">
        <v>698</v>
      </c>
      <c r="D4" s="29" t="s">
        <v>699</v>
      </c>
    </row>
    <row r="5" spans="1:4">
      <c r="A5" t="s">
        <v>764</v>
      </c>
      <c r="B5">
        <f>MATCH(B3,Interpolating!C31:C35,1)-1</f>
        <v>3</v>
      </c>
      <c r="C5">
        <f ca="1">OFFSET(Interpolating!C31,B5,0)</f>
        <v>3</v>
      </c>
      <c r="D5">
        <f ca="1">OFFSET(Interpolating!E31,B5,0)</f>
        <v>1</v>
      </c>
    </row>
    <row r="7" spans="1:4">
      <c r="A7" t="s">
        <v>765</v>
      </c>
      <c r="B7">
        <f>B5+1</f>
        <v>4</v>
      </c>
      <c r="C7">
        <f ca="1">OFFSET(Interpolating!C31,B7,0)</f>
        <v>4</v>
      </c>
      <c r="D7">
        <f ca="1">OFFSET(Interpolating!E31,B7,0)</f>
        <v>3</v>
      </c>
    </row>
    <row r="8" spans="1:4">
      <c r="C8" s="6"/>
    </row>
    <row r="10" spans="1:4">
      <c r="A10" t="s">
        <v>699</v>
      </c>
      <c r="B10">
        <v>0</v>
      </c>
      <c r="C10">
        <f ca="1">D5+(B11-C5)*(D7-D5)/(C7-C5)</f>
        <v>2</v>
      </c>
    </row>
    <row r="11" spans="1:4">
      <c r="A11" t="s">
        <v>698</v>
      </c>
      <c r="B11">
        <f>B3</f>
        <v>3.5</v>
      </c>
      <c r="C11">
        <f>B11</f>
        <v>3.5</v>
      </c>
    </row>
    <row r="13" spans="1:4" ht="13">
      <c r="A13" s="111" t="s">
        <v>1444</v>
      </c>
    </row>
    <row r="15" spans="1:4">
      <c r="A15" t="s">
        <v>1355</v>
      </c>
      <c r="B15">
        <f>Interpolating!E23</f>
        <v>3.5</v>
      </c>
    </row>
    <row r="17" spans="1:12">
      <c r="A17" s="18" t="s">
        <v>699</v>
      </c>
      <c r="B17">
        <v>0</v>
      </c>
      <c r="C17">
        <f>LOOKUP(B15,Interpolating!$C$17:$C$21,Interpolating!$E$17:$E$21)</f>
        <v>1</v>
      </c>
      <c r="E17">
        <f>LOOKUP(B15,Interpolating!$C$17:$C$21,Interpolating!$E$17:$E$21)</f>
        <v>1</v>
      </c>
    </row>
    <row r="18" spans="1:12">
      <c r="A18" s="18" t="s">
        <v>698</v>
      </c>
      <c r="B18">
        <f>B15</f>
        <v>3.5</v>
      </c>
      <c r="C18">
        <f>B18</f>
        <v>3.5</v>
      </c>
    </row>
    <row r="19" spans="1:12">
      <c r="A19" s="18"/>
      <c r="B19" s="112"/>
      <c r="C19" s="112"/>
      <c r="D19" s="112"/>
      <c r="E19" s="112"/>
      <c r="F19" s="112" t="s">
        <v>1445</v>
      </c>
      <c r="G19" s="112"/>
      <c r="H19" s="112"/>
      <c r="I19" s="112"/>
      <c r="J19" s="112"/>
      <c r="K19" s="112"/>
      <c r="L19" s="112"/>
    </row>
    <row r="20" spans="1:12">
      <c r="A20" s="18"/>
      <c r="B20">
        <v>0</v>
      </c>
      <c r="C20">
        <f>Interpolating!$E$17</f>
        <v>-2</v>
      </c>
      <c r="E20">
        <v>1</v>
      </c>
      <c r="F20">
        <f>Interpolating!$E$18</f>
        <v>-3</v>
      </c>
      <c r="H20">
        <v>2</v>
      </c>
      <c r="I20">
        <f>Interpolating!$E$19</f>
        <v>2</v>
      </c>
      <c r="K20">
        <v>3</v>
      </c>
      <c r="L20">
        <f>Interpolating!$E$20</f>
        <v>1</v>
      </c>
    </row>
    <row r="21" spans="1:12">
      <c r="A21" s="18"/>
      <c r="B21">
        <f>B20+0.1</f>
        <v>0.1</v>
      </c>
      <c r="C21">
        <f>Interpolating!$E$17</f>
        <v>-2</v>
      </c>
      <c r="E21">
        <f>E20+0.1</f>
        <v>1.1000000000000001</v>
      </c>
      <c r="F21">
        <f>Interpolating!$E$18</f>
        <v>-3</v>
      </c>
      <c r="H21">
        <f t="shared" ref="H21:H30" si="0">H20+0.1</f>
        <v>2.1</v>
      </c>
      <c r="I21">
        <f>Interpolating!$E$19</f>
        <v>2</v>
      </c>
      <c r="K21">
        <f t="shared" ref="K21:K30" si="1">K20+0.1</f>
        <v>3.1</v>
      </c>
      <c r="L21">
        <f>Interpolating!$E$20</f>
        <v>1</v>
      </c>
    </row>
    <row r="22" spans="1:12">
      <c r="A22" s="18"/>
      <c r="B22">
        <f t="shared" ref="B22:B28" si="2">B21+0.1</f>
        <v>0.2</v>
      </c>
      <c r="C22">
        <f>Interpolating!$E$17</f>
        <v>-2</v>
      </c>
      <c r="E22">
        <f t="shared" ref="E22:E30" si="3">E21+0.1</f>
        <v>1.2000000000000002</v>
      </c>
      <c r="F22">
        <f>Interpolating!$E$18</f>
        <v>-3</v>
      </c>
      <c r="H22">
        <f t="shared" si="0"/>
        <v>2.2000000000000002</v>
      </c>
      <c r="I22">
        <f>Interpolating!$E$19</f>
        <v>2</v>
      </c>
      <c r="K22">
        <f t="shared" si="1"/>
        <v>3.2</v>
      </c>
      <c r="L22">
        <f>Interpolating!$E$20</f>
        <v>1</v>
      </c>
    </row>
    <row r="23" spans="1:12">
      <c r="A23" s="18"/>
      <c r="B23">
        <f t="shared" si="2"/>
        <v>0.30000000000000004</v>
      </c>
      <c r="C23">
        <f>Interpolating!$E$17</f>
        <v>-2</v>
      </c>
      <c r="E23">
        <f t="shared" si="3"/>
        <v>1.3000000000000003</v>
      </c>
      <c r="F23">
        <f>Interpolating!$E$18</f>
        <v>-3</v>
      </c>
      <c r="H23">
        <f t="shared" si="0"/>
        <v>2.3000000000000003</v>
      </c>
      <c r="I23">
        <f>Interpolating!$E$19</f>
        <v>2</v>
      </c>
      <c r="K23">
        <f t="shared" si="1"/>
        <v>3.3000000000000003</v>
      </c>
      <c r="L23">
        <f>Interpolating!$E$20</f>
        <v>1</v>
      </c>
    </row>
    <row r="24" spans="1:12">
      <c r="A24" s="18"/>
      <c r="B24">
        <f t="shared" si="2"/>
        <v>0.4</v>
      </c>
      <c r="C24">
        <f>Interpolating!$E$17</f>
        <v>-2</v>
      </c>
      <c r="E24">
        <f t="shared" si="3"/>
        <v>1.4000000000000004</v>
      </c>
      <c r="F24">
        <f>Interpolating!$E$18</f>
        <v>-3</v>
      </c>
      <c r="H24">
        <f t="shared" si="0"/>
        <v>2.4000000000000004</v>
      </c>
      <c r="I24">
        <f>Interpolating!$E$19</f>
        <v>2</v>
      </c>
      <c r="K24">
        <f t="shared" si="1"/>
        <v>3.4000000000000004</v>
      </c>
      <c r="L24">
        <f>Interpolating!$E$20</f>
        <v>1</v>
      </c>
    </row>
    <row r="25" spans="1:12">
      <c r="A25" s="18"/>
      <c r="B25">
        <f t="shared" si="2"/>
        <v>0.5</v>
      </c>
      <c r="C25">
        <f>Interpolating!$E$17</f>
        <v>-2</v>
      </c>
      <c r="E25">
        <f t="shared" si="3"/>
        <v>1.5000000000000004</v>
      </c>
      <c r="F25">
        <f>Interpolating!$E$18</f>
        <v>-3</v>
      </c>
      <c r="H25">
        <f t="shared" si="0"/>
        <v>2.5000000000000004</v>
      </c>
      <c r="I25">
        <f>Interpolating!$E$19</f>
        <v>2</v>
      </c>
      <c r="K25">
        <f t="shared" si="1"/>
        <v>3.5000000000000004</v>
      </c>
      <c r="L25">
        <f>Interpolating!$E$20</f>
        <v>1</v>
      </c>
    </row>
    <row r="26" spans="1:12">
      <c r="A26" s="18"/>
      <c r="B26">
        <f t="shared" si="2"/>
        <v>0.6</v>
      </c>
      <c r="C26">
        <f>Interpolating!$E$17</f>
        <v>-2</v>
      </c>
      <c r="E26">
        <f t="shared" si="3"/>
        <v>1.6000000000000005</v>
      </c>
      <c r="F26">
        <f>Interpolating!$E$18</f>
        <v>-3</v>
      </c>
      <c r="H26">
        <f t="shared" si="0"/>
        <v>2.6000000000000005</v>
      </c>
      <c r="I26">
        <f>Interpolating!$E$19</f>
        <v>2</v>
      </c>
      <c r="K26">
        <f t="shared" si="1"/>
        <v>3.6000000000000005</v>
      </c>
      <c r="L26">
        <f>Interpolating!$E$20</f>
        <v>1</v>
      </c>
    </row>
    <row r="27" spans="1:12">
      <c r="A27" s="18"/>
      <c r="B27">
        <f t="shared" si="2"/>
        <v>0.7</v>
      </c>
      <c r="C27">
        <f>Interpolating!$E$17</f>
        <v>-2</v>
      </c>
      <c r="E27">
        <f t="shared" si="3"/>
        <v>1.7000000000000006</v>
      </c>
      <c r="F27">
        <f>Interpolating!$E$18</f>
        <v>-3</v>
      </c>
      <c r="H27">
        <f t="shared" si="0"/>
        <v>2.7000000000000006</v>
      </c>
      <c r="I27">
        <f>Interpolating!$E$19</f>
        <v>2</v>
      </c>
      <c r="K27">
        <f t="shared" si="1"/>
        <v>3.7000000000000006</v>
      </c>
      <c r="L27">
        <f>Interpolating!$E$20</f>
        <v>1</v>
      </c>
    </row>
    <row r="28" spans="1:12">
      <c r="A28" s="18"/>
      <c r="B28">
        <f t="shared" si="2"/>
        <v>0.79999999999999993</v>
      </c>
      <c r="C28">
        <f>Interpolating!$E$17</f>
        <v>-2</v>
      </c>
      <c r="E28">
        <f t="shared" si="3"/>
        <v>1.8000000000000007</v>
      </c>
      <c r="F28">
        <f>Interpolating!$E$18</f>
        <v>-3</v>
      </c>
      <c r="H28">
        <f t="shared" si="0"/>
        <v>2.8000000000000007</v>
      </c>
      <c r="I28">
        <f>Interpolating!$E$19</f>
        <v>2</v>
      </c>
      <c r="K28">
        <f t="shared" si="1"/>
        <v>3.8000000000000007</v>
      </c>
      <c r="L28">
        <f>Interpolating!$E$20</f>
        <v>1</v>
      </c>
    </row>
    <row r="29" spans="1:12">
      <c r="A29" s="18"/>
      <c r="B29">
        <f>B28+0.1</f>
        <v>0.89999999999999991</v>
      </c>
      <c r="C29">
        <f>Interpolating!$E$17</f>
        <v>-2</v>
      </c>
      <c r="E29">
        <f t="shared" si="3"/>
        <v>1.9000000000000008</v>
      </c>
      <c r="F29">
        <f>Interpolating!$E$18</f>
        <v>-3</v>
      </c>
      <c r="H29">
        <f t="shared" si="0"/>
        <v>2.9000000000000008</v>
      </c>
      <c r="I29">
        <f>Interpolating!$E$19</f>
        <v>2</v>
      </c>
      <c r="K29">
        <f t="shared" si="1"/>
        <v>3.9000000000000008</v>
      </c>
      <c r="L29">
        <f>Interpolating!$E$20</f>
        <v>1</v>
      </c>
    </row>
    <row r="30" spans="1:12">
      <c r="A30" s="18"/>
      <c r="B30">
        <f>B29+0.1</f>
        <v>0.99999999999999989</v>
      </c>
      <c r="C30">
        <f>Interpolating!$E$17</f>
        <v>-2</v>
      </c>
      <c r="E30">
        <f t="shared" si="3"/>
        <v>2.0000000000000009</v>
      </c>
      <c r="F30">
        <f>Interpolating!$E$18</f>
        <v>-3</v>
      </c>
      <c r="H30">
        <f t="shared" si="0"/>
        <v>3.0000000000000009</v>
      </c>
      <c r="I30">
        <f>Interpolating!$E$19</f>
        <v>2</v>
      </c>
      <c r="K30">
        <f t="shared" si="1"/>
        <v>4.0000000000000009</v>
      </c>
      <c r="L30">
        <f>Interpolating!$E$20</f>
        <v>1</v>
      </c>
    </row>
    <row r="31" spans="1:12">
      <c r="A31" s="18"/>
      <c r="B31" s="112"/>
      <c r="C31" s="112"/>
      <c r="D31" s="112"/>
      <c r="E31" s="112"/>
      <c r="F31" s="112" t="s">
        <v>1446</v>
      </c>
      <c r="G31" s="112"/>
      <c r="H31" s="112"/>
      <c r="I31" s="112"/>
      <c r="J31" s="112"/>
      <c r="K31" s="112"/>
      <c r="L31" s="112"/>
    </row>
    <row r="32" spans="1:12">
      <c r="A32" s="18"/>
      <c r="B32">
        <f>Interpolating!C18</f>
        <v>1</v>
      </c>
      <c r="C32">
        <f>Interpolating!E17</f>
        <v>-2</v>
      </c>
      <c r="E32">
        <f>Interpolating!C19</f>
        <v>2</v>
      </c>
      <c r="F32">
        <f>Interpolating!E18</f>
        <v>-3</v>
      </c>
      <c r="H32">
        <f>Interpolating!C20</f>
        <v>3</v>
      </c>
      <c r="I32">
        <f>Interpolating!E19</f>
        <v>2</v>
      </c>
      <c r="K32">
        <f>Interpolating!C21</f>
        <v>4</v>
      </c>
      <c r="L32">
        <f>Interpolating!E20</f>
        <v>1</v>
      </c>
    </row>
    <row r="33" spans="1:12">
      <c r="B33">
        <f>B32</f>
        <v>1</v>
      </c>
      <c r="C33">
        <f>Interpolating!E18</f>
        <v>-3</v>
      </c>
      <c r="E33">
        <f>E32</f>
        <v>2</v>
      </c>
      <c r="F33">
        <f>Interpolating!E19</f>
        <v>2</v>
      </c>
      <c r="H33">
        <f>H32</f>
        <v>3</v>
      </c>
      <c r="I33">
        <f>Interpolating!E20</f>
        <v>1</v>
      </c>
      <c r="K33">
        <f>K32</f>
        <v>4</v>
      </c>
      <c r="L33">
        <f>Interpolating!E21</f>
        <v>3</v>
      </c>
    </row>
    <row r="35" spans="1:12" ht="13">
      <c r="A35" s="111" t="s">
        <v>1460</v>
      </c>
    </row>
    <row r="39" spans="1:12">
      <c r="A39" t="s">
        <v>1485</v>
      </c>
      <c r="B39" t="s">
        <v>1486</v>
      </c>
    </row>
    <row r="40" spans="1:12">
      <c r="A40">
        <f>Interpolating!E65</f>
        <v>3.5</v>
      </c>
      <c r="B40">
        <f>TREND(Interpolating!$E$59:$E$63,Interpolating!$C$59:$C$63,Interpolating!$E$65)</f>
        <v>2.2999999999999994</v>
      </c>
    </row>
    <row r="42" spans="1:12">
      <c r="A42" t="s">
        <v>1461</v>
      </c>
    </row>
    <row r="43" spans="1:12">
      <c r="A43" t="s">
        <v>1485</v>
      </c>
      <c r="B43" t="s">
        <v>1486</v>
      </c>
    </row>
    <row r="44" spans="1:12">
      <c r="A44">
        <f>Interpolating!C59</f>
        <v>0</v>
      </c>
      <c r="B44">
        <f>TREND(Interpolating!$E$59:$E$63,Interpolating!$C$59:$C$63,A44)</f>
        <v>-2.5999999999999992</v>
      </c>
    </row>
    <row r="45" spans="1:12">
      <c r="A45">
        <f>Interpolating!C63</f>
        <v>4</v>
      </c>
      <c r="B45">
        <f>TREND(Interpolating!$E$59:$E$63,Interpolating!$C$59:$C$63,A45)</f>
        <v>2.9999999999999996</v>
      </c>
    </row>
    <row r="47" spans="1:12">
      <c r="A47" t="s">
        <v>1462</v>
      </c>
    </row>
    <row r="48" spans="1:12">
      <c r="A48" t="s">
        <v>1485</v>
      </c>
      <c r="B48" t="s">
        <v>1486</v>
      </c>
    </row>
    <row r="49" spans="1:2">
      <c r="A49">
        <f>A40</f>
        <v>3.5</v>
      </c>
      <c r="B49">
        <v>0</v>
      </c>
    </row>
    <row r="50" spans="1:2">
      <c r="A50">
        <f>A49</f>
        <v>3.5</v>
      </c>
      <c r="B50">
        <f>B40</f>
        <v>2.2999999999999994</v>
      </c>
    </row>
  </sheetData>
  <sheetProtection algorithmName="SHA-512" hashValue="gye2Vbhe4MD7ZesZAgAudBfJqiHWBHyMBhii0rnV9/aAvWxxtC9OB4tG87TH9Lv4cweWv7M2x3r1wRFbqw8YKQ==" saltValue="3fzGdfN5M1Ln4dVAzvsNVQ==" spinCount="100000" sheet="1" objects="1" scenarios="1"/>
  <phoneticPr fontId="2" type="noConversion"/>
  <dataValidations disablePrompts="1" count="1">
    <dataValidation type="decimal" allowBlank="1" showInputMessage="1" showErrorMessage="1" prompt="Set to a number between 1 and 4" sqref="B3" xr:uid="{00000000-0002-0000-0B00-000000000000}">
      <formula1>1</formula1>
      <formula2>4</formula2>
    </dataValidation>
  </dataValidation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dimension ref="D1:R59"/>
  <sheetViews>
    <sheetView topLeftCell="A44" workbookViewId="0">
      <selection activeCell="C59" sqref="A18:C59"/>
    </sheetView>
  </sheetViews>
  <sheetFormatPr defaultRowHeight="12.5"/>
  <cols>
    <col min="1" max="2" width="1" customWidth="1"/>
  </cols>
  <sheetData>
    <row r="1" spans="4:18">
      <c r="D1" t="s">
        <v>1487</v>
      </c>
    </row>
    <row r="2" spans="4:18">
      <c r="D2">
        <v>2</v>
      </c>
      <c r="E2">
        <v>1</v>
      </c>
      <c r="F2">
        <v>0</v>
      </c>
      <c r="G2">
        <v>0</v>
      </c>
      <c r="H2">
        <v>0</v>
      </c>
      <c r="K2">
        <f>3*(Interpolating!E46-Interpolating!E45)</f>
        <v>-3</v>
      </c>
    </row>
    <row r="3" spans="4:18">
      <c r="D3">
        <v>1</v>
      </c>
      <c r="E3">
        <v>4</v>
      </c>
      <c r="F3">
        <v>1</v>
      </c>
      <c r="G3">
        <v>0</v>
      </c>
      <c r="H3">
        <v>0</v>
      </c>
      <c r="K3">
        <f>3*(Interpolating!E47-Interpolating!E45)</f>
        <v>12</v>
      </c>
    </row>
    <row r="4" spans="4:18">
      <c r="D4">
        <v>0</v>
      </c>
      <c r="E4">
        <v>1</v>
      </c>
      <c r="F4">
        <v>4</v>
      </c>
      <c r="G4">
        <v>1</v>
      </c>
      <c r="H4">
        <v>0</v>
      </c>
      <c r="K4">
        <f>3*(Interpolating!E48-Interpolating!E46)</f>
        <v>12</v>
      </c>
    </row>
    <row r="5" spans="4:18">
      <c r="D5">
        <v>0</v>
      </c>
      <c r="E5">
        <v>0</v>
      </c>
      <c r="F5">
        <v>1</v>
      </c>
      <c r="G5">
        <v>4</v>
      </c>
      <c r="H5">
        <v>1</v>
      </c>
      <c r="K5">
        <f>3*(Interpolating!E49-Interpolating!E47)</f>
        <v>3</v>
      </c>
    </row>
    <row r="6" spans="4:18">
      <c r="D6">
        <v>0</v>
      </c>
      <c r="E6">
        <v>0</v>
      </c>
      <c r="F6">
        <v>0</v>
      </c>
      <c r="G6">
        <v>1</v>
      </c>
      <c r="H6">
        <v>2</v>
      </c>
      <c r="K6">
        <f>3*(Interpolating!E49-Interpolating!E48)</f>
        <v>6</v>
      </c>
    </row>
    <row r="8" spans="4:18">
      <c r="D8" t="s">
        <v>1488</v>
      </c>
      <c r="J8" t="s">
        <v>1489</v>
      </c>
      <c r="K8" t="s">
        <v>1490</v>
      </c>
      <c r="L8" t="s">
        <v>1491</v>
      </c>
      <c r="M8" t="s">
        <v>1492</v>
      </c>
      <c r="N8" t="s">
        <v>659</v>
      </c>
    </row>
    <row r="9" spans="4:18">
      <c r="D9">
        <f t="array" ref="D9:H13">MINVERSE(D2:H6)</f>
        <v>0.57738095238095233</v>
      </c>
      <c r="E9">
        <v>-0.15476190476190474</v>
      </c>
      <c r="F9">
        <v>4.1666666666666664E-2</v>
      </c>
      <c r="G9">
        <v>-1.1904761904761902E-2</v>
      </c>
      <c r="H9">
        <v>5.9523809523809512E-3</v>
      </c>
      <c r="J9">
        <v>0</v>
      </c>
      <c r="K9">
        <f t="array" ref="K9:K13">MMULT(D9:H13,K2:K6)</f>
        <v>-3.0892857142857135</v>
      </c>
      <c r="L9">
        <f>Interpolating!E45</f>
        <v>-2</v>
      </c>
      <c r="M9">
        <f>3*(L10-L9)-2*K9-K10</f>
        <v>0</v>
      </c>
      <c r="N9">
        <f>2*(L9-L10)+K9+K10</f>
        <v>2.0892857142857144</v>
      </c>
    </row>
    <row r="10" spans="4:18">
      <c r="D10">
        <v>-0.15476190476190474</v>
      </c>
      <c r="E10">
        <v>0.30952380952380948</v>
      </c>
      <c r="F10">
        <v>-8.3333333333333329E-2</v>
      </c>
      <c r="G10">
        <v>2.3809523809523805E-2</v>
      </c>
      <c r="H10">
        <v>-1.1904761904761902E-2</v>
      </c>
      <c r="J10">
        <f>J9+1</f>
        <v>1</v>
      </c>
      <c r="K10">
        <v>3.1785714285714279</v>
      </c>
      <c r="L10">
        <f>Interpolating!E46</f>
        <v>-3</v>
      </c>
      <c r="M10">
        <f>3*(L11-L10)-2*K10-K11</f>
        <v>6.2678571428571441</v>
      </c>
      <c r="N10">
        <f>2*(L10-L11)+K10+K11</f>
        <v>-4.4464285714285721</v>
      </c>
    </row>
    <row r="11" spans="4:18">
      <c r="D11">
        <v>4.1666666666666657E-2</v>
      </c>
      <c r="E11">
        <v>-8.3333333333333315E-2</v>
      </c>
      <c r="F11">
        <v>0.29166666666666663</v>
      </c>
      <c r="G11">
        <v>-8.3333333333333315E-2</v>
      </c>
      <c r="H11">
        <v>4.1666666666666657E-2</v>
      </c>
      <c r="J11">
        <f>J10+1</f>
        <v>2</v>
      </c>
      <c r="K11">
        <v>2.375</v>
      </c>
      <c r="L11">
        <f>Interpolating!E47</f>
        <v>2</v>
      </c>
      <c r="M11">
        <f>3*(L12-L11)-2*K11-K12</f>
        <v>-7.0714285714285712</v>
      </c>
      <c r="N11">
        <f>2*(L11-L12)+K11+K12</f>
        <v>3.6964285714285712</v>
      </c>
    </row>
    <row r="12" spans="4:18">
      <c r="D12">
        <v>-1.1904761904761902E-2</v>
      </c>
      <c r="E12">
        <v>2.3809523809523805E-2</v>
      </c>
      <c r="F12">
        <v>-8.3333333333333329E-2</v>
      </c>
      <c r="G12">
        <v>0.30952380952380948</v>
      </c>
      <c r="H12">
        <v>-0.15476190476190474</v>
      </c>
      <c r="J12">
        <f>J11+1</f>
        <v>3</v>
      </c>
      <c r="K12">
        <v>-0.6785714285714286</v>
      </c>
      <c r="L12">
        <f>Interpolating!E48</f>
        <v>1</v>
      </c>
      <c r="M12">
        <f>3*(L13-L12)-2*K12-K13</f>
        <v>4.0178571428571441</v>
      </c>
      <c r="N12">
        <f>2*(L12-L13)+K12+K13</f>
        <v>-1.3392857142857149</v>
      </c>
    </row>
    <row r="13" spans="4:18">
      <c r="D13">
        <v>5.9523809523809512E-3</v>
      </c>
      <c r="E13">
        <v>-1.1904761904761902E-2</v>
      </c>
      <c r="F13">
        <v>4.1666666666666664E-2</v>
      </c>
      <c r="G13">
        <v>-0.15476190476190474</v>
      </c>
      <c r="H13">
        <v>0.57738095238095233</v>
      </c>
      <c r="J13">
        <f>J12+1</f>
        <v>4</v>
      </c>
      <c r="K13">
        <v>3.339285714285714</v>
      </c>
      <c r="L13">
        <f>Interpolating!E49</f>
        <v>3</v>
      </c>
    </row>
    <row r="15" spans="4:18">
      <c r="J15" t="s">
        <v>1489</v>
      </c>
      <c r="K15" t="s">
        <v>1493</v>
      </c>
      <c r="L15" t="s">
        <v>1494</v>
      </c>
      <c r="M15" t="s">
        <v>1492</v>
      </c>
      <c r="N15" t="s">
        <v>659</v>
      </c>
      <c r="O15" t="s">
        <v>1495</v>
      </c>
      <c r="R15" t="s">
        <v>1496</v>
      </c>
    </row>
    <row r="16" spans="4:18">
      <c r="J16">
        <f>J17</f>
        <v>3.5</v>
      </c>
      <c r="R16">
        <v>0</v>
      </c>
    </row>
    <row r="17" spans="4:18">
      <c r="J17">
        <f>Interpolating!$E$51</f>
        <v>3.5</v>
      </c>
      <c r="K17">
        <f ca="1">OFFSET(K$9,$P$17,0)</f>
        <v>-0.6785714285714286</v>
      </c>
      <c r="L17">
        <f ca="1">OFFSET(L$9,$P$17,0)</f>
        <v>1</v>
      </c>
      <c r="M17">
        <f ca="1">OFFSET(M$9,$P$17,0)</f>
        <v>4.0178571428571441</v>
      </c>
      <c r="N17">
        <f ca="1">OFFSET(N$9,$P$17,0)</f>
        <v>-1.3392857142857149</v>
      </c>
      <c r="O17">
        <f>J17-INT(J17)</f>
        <v>0.5</v>
      </c>
      <c r="P17">
        <f>MATCH(J17+0.00001,$J$9:$J$13,1)-1</f>
        <v>3</v>
      </c>
      <c r="R17">
        <f ca="1">L17+K17*O17+M17*O17^2+N17*O17^3</f>
        <v>1.4977678571428572</v>
      </c>
    </row>
    <row r="19" spans="4:18">
      <c r="D19" t="str">
        <f ca="1">"When X is " &amp; TEXT(J17,"0.00") &amp; " Y is " &amp; TEXT(R17,"0.00")</f>
        <v>When X is 3.50 Y is 1.50</v>
      </c>
      <c r="J19">
        <v>0</v>
      </c>
      <c r="K19">
        <f ca="1">OFFSET(K$9,P19,0)</f>
        <v>-3.0892857142857135</v>
      </c>
      <c r="L19">
        <f ca="1">OFFSET(L$9,P19,0)</f>
        <v>-2</v>
      </c>
      <c r="M19">
        <f ca="1">OFFSET(M$9,P19,0)</f>
        <v>0</v>
      </c>
      <c r="N19">
        <f ca="1">OFFSET(N$9,P19,0)</f>
        <v>2.0892857142857144</v>
      </c>
      <c r="O19">
        <f>J19-INT(J19)</f>
        <v>0</v>
      </c>
      <c r="P19">
        <f>MATCH(J19+0.00001,$J$9:$J$13,1)-1</f>
        <v>0</v>
      </c>
      <c r="R19">
        <f ca="1">L19+K19*O19+M19*O19^2+N19*O19^3</f>
        <v>-2</v>
      </c>
    </row>
    <row r="20" spans="4:18">
      <c r="J20">
        <f>J19+0.1</f>
        <v>0.1</v>
      </c>
      <c r="K20">
        <f t="shared" ref="K20:K59" ca="1" si="0">OFFSET(K$9,P20,0)</f>
        <v>-3.0892857142857135</v>
      </c>
      <c r="L20">
        <f t="shared" ref="L20:L59" ca="1" si="1">OFFSET(L$9,P20,0)</f>
        <v>-2</v>
      </c>
      <c r="M20">
        <f t="shared" ref="M20:M59" ca="1" si="2">OFFSET(M$9,P20,0)</f>
        <v>0</v>
      </c>
      <c r="N20">
        <f t="shared" ref="N20:N59" ca="1" si="3">OFFSET(N$9,P20,0)</f>
        <v>2.0892857142857144</v>
      </c>
      <c r="O20">
        <f t="shared" ref="O20:O59" si="4">J20-INT(J20)</f>
        <v>0.1</v>
      </c>
      <c r="P20">
        <f t="shared" ref="P20:P59" si="5">MATCH(J20+0.00001,$J$9:$J$13,1)-1</f>
        <v>0</v>
      </c>
      <c r="R20">
        <f t="shared" ref="R20:R59" ca="1" si="6">L20+K20*O20+M20*O20^2+N20*O20^3</f>
        <v>-2.3068392857142856</v>
      </c>
    </row>
    <row r="21" spans="4:18">
      <c r="J21">
        <f t="shared" ref="J21:J59" si="7">J20+0.1</f>
        <v>0.2</v>
      </c>
      <c r="K21">
        <f t="shared" ca="1" si="0"/>
        <v>-3.0892857142857135</v>
      </c>
      <c r="L21">
        <f t="shared" ca="1" si="1"/>
        <v>-2</v>
      </c>
      <c r="M21">
        <f t="shared" ca="1" si="2"/>
        <v>0</v>
      </c>
      <c r="N21">
        <f t="shared" ca="1" si="3"/>
        <v>2.0892857142857144</v>
      </c>
      <c r="O21">
        <f t="shared" si="4"/>
        <v>0.2</v>
      </c>
      <c r="P21">
        <f t="shared" si="5"/>
        <v>0</v>
      </c>
      <c r="R21">
        <f t="shared" ca="1" si="6"/>
        <v>-2.601142857142857</v>
      </c>
    </row>
    <row r="22" spans="4:18">
      <c r="J22">
        <f t="shared" si="7"/>
        <v>0.30000000000000004</v>
      </c>
      <c r="K22">
        <f t="shared" ca="1" si="0"/>
        <v>-3.0892857142857135</v>
      </c>
      <c r="L22">
        <f t="shared" ca="1" si="1"/>
        <v>-2</v>
      </c>
      <c r="M22">
        <f t="shared" ca="1" si="2"/>
        <v>0</v>
      </c>
      <c r="N22">
        <f t="shared" ca="1" si="3"/>
        <v>2.0892857142857144</v>
      </c>
      <c r="O22">
        <f t="shared" si="4"/>
        <v>0.30000000000000004</v>
      </c>
      <c r="P22">
        <f t="shared" si="5"/>
        <v>0</v>
      </c>
      <c r="R22">
        <f t="shared" ca="1" si="6"/>
        <v>-2.8703750000000001</v>
      </c>
    </row>
    <row r="23" spans="4:18">
      <c r="J23">
        <f t="shared" si="7"/>
        <v>0.4</v>
      </c>
      <c r="K23">
        <f t="shared" ca="1" si="0"/>
        <v>-3.0892857142857135</v>
      </c>
      <c r="L23">
        <f t="shared" ca="1" si="1"/>
        <v>-2</v>
      </c>
      <c r="M23">
        <f t="shared" ca="1" si="2"/>
        <v>0</v>
      </c>
      <c r="N23">
        <f t="shared" ca="1" si="3"/>
        <v>2.0892857142857144</v>
      </c>
      <c r="O23">
        <f t="shared" si="4"/>
        <v>0.4</v>
      </c>
      <c r="P23">
        <f t="shared" si="5"/>
        <v>0</v>
      </c>
      <c r="R23">
        <f t="shared" ca="1" si="6"/>
        <v>-3.1019999999999999</v>
      </c>
    </row>
    <row r="24" spans="4:18">
      <c r="J24">
        <f t="shared" si="7"/>
        <v>0.5</v>
      </c>
      <c r="K24">
        <f t="shared" ca="1" si="0"/>
        <v>-3.0892857142857135</v>
      </c>
      <c r="L24">
        <f t="shared" ca="1" si="1"/>
        <v>-2</v>
      </c>
      <c r="M24">
        <f t="shared" ca="1" si="2"/>
        <v>0</v>
      </c>
      <c r="N24">
        <f t="shared" ca="1" si="3"/>
        <v>2.0892857142857144</v>
      </c>
      <c r="O24">
        <f t="shared" si="4"/>
        <v>0.5</v>
      </c>
      <c r="P24">
        <f t="shared" si="5"/>
        <v>0</v>
      </c>
      <c r="R24">
        <f t="shared" ca="1" si="6"/>
        <v>-3.2834821428571423</v>
      </c>
    </row>
    <row r="25" spans="4:18">
      <c r="J25">
        <f t="shared" si="7"/>
        <v>0.6</v>
      </c>
      <c r="K25">
        <f t="shared" ca="1" si="0"/>
        <v>-3.0892857142857135</v>
      </c>
      <c r="L25">
        <f t="shared" ca="1" si="1"/>
        <v>-2</v>
      </c>
      <c r="M25">
        <f t="shared" ca="1" si="2"/>
        <v>0</v>
      </c>
      <c r="N25">
        <f t="shared" ca="1" si="3"/>
        <v>2.0892857142857144</v>
      </c>
      <c r="O25">
        <f t="shared" si="4"/>
        <v>0.6</v>
      </c>
      <c r="P25">
        <f t="shared" si="5"/>
        <v>0</v>
      </c>
      <c r="R25">
        <f t="shared" ca="1" si="6"/>
        <v>-3.4022857142857132</v>
      </c>
    </row>
    <row r="26" spans="4:18">
      <c r="J26">
        <f t="shared" si="7"/>
        <v>0.7</v>
      </c>
      <c r="K26">
        <f t="shared" ca="1" si="0"/>
        <v>-3.0892857142857135</v>
      </c>
      <c r="L26">
        <f t="shared" ca="1" si="1"/>
        <v>-2</v>
      </c>
      <c r="M26">
        <f t="shared" ca="1" si="2"/>
        <v>0</v>
      </c>
      <c r="N26">
        <f t="shared" ca="1" si="3"/>
        <v>2.0892857142857144</v>
      </c>
      <c r="O26">
        <f t="shared" si="4"/>
        <v>0.7</v>
      </c>
      <c r="P26">
        <f t="shared" si="5"/>
        <v>0</v>
      </c>
      <c r="R26">
        <f t="shared" ca="1" si="6"/>
        <v>-3.445875</v>
      </c>
    </row>
    <row r="27" spans="4:18">
      <c r="J27">
        <f t="shared" si="7"/>
        <v>0.79999999999999993</v>
      </c>
      <c r="K27">
        <f t="shared" ca="1" si="0"/>
        <v>-3.0892857142857135</v>
      </c>
      <c r="L27">
        <f t="shared" ca="1" si="1"/>
        <v>-2</v>
      </c>
      <c r="M27">
        <f t="shared" ca="1" si="2"/>
        <v>0</v>
      </c>
      <c r="N27">
        <f t="shared" ca="1" si="3"/>
        <v>2.0892857142857144</v>
      </c>
      <c r="O27">
        <f t="shared" si="4"/>
        <v>0.79999999999999993</v>
      </c>
      <c r="P27">
        <f t="shared" si="5"/>
        <v>0</v>
      </c>
      <c r="R27">
        <f t="shared" ca="1" si="6"/>
        <v>-3.4017142857142852</v>
      </c>
    </row>
    <row r="28" spans="4:18">
      <c r="J28">
        <f t="shared" si="7"/>
        <v>0.89999999999999991</v>
      </c>
      <c r="K28">
        <f t="shared" ca="1" si="0"/>
        <v>-3.0892857142857135</v>
      </c>
      <c r="L28">
        <f t="shared" ca="1" si="1"/>
        <v>-2</v>
      </c>
      <c r="M28">
        <f t="shared" ca="1" si="2"/>
        <v>0</v>
      </c>
      <c r="N28">
        <f t="shared" ca="1" si="3"/>
        <v>2.0892857142857144</v>
      </c>
      <c r="O28">
        <f t="shared" si="4"/>
        <v>0.89999999999999991</v>
      </c>
      <c r="P28">
        <f t="shared" si="5"/>
        <v>0</v>
      </c>
      <c r="R28">
        <f t="shared" ca="1" si="6"/>
        <v>-3.2572678571428564</v>
      </c>
    </row>
    <row r="29" spans="4:18">
      <c r="J29">
        <f t="shared" si="7"/>
        <v>0.99999999999999989</v>
      </c>
      <c r="K29">
        <f t="shared" ca="1" si="0"/>
        <v>3.1785714285714279</v>
      </c>
      <c r="L29">
        <f t="shared" ca="1" si="1"/>
        <v>-3</v>
      </c>
      <c r="M29">
        <f t="shared" ca="1" si="2"/>
        <v>6.2678571428571441</v>
      </c>
      <c r="N29">
        <f t="shared" ca="1" si="3"/>
        <v>-4.4464285714285721</v>
      </c>
      <c r="O29">
        <f t="shared" si="4"/>
        <v>0</v>
      </c>
      <c r="P29">
        <f t="shared" si="5"/>
        <v>1</v>
      </c>
      <c r="R29">
        <f t="shared" ca="1" si="6"/>
        <v>-3</v>
      </c>
    </row>
    <row r="30" spans="4:18">
      <c r="J30">
        <f t="shared" si="7"/>
        <v>1.0999999999999999</v>
      </c>
      <c r="K30">
        <f t="shared" ca="1" si="0"/>
        <v>3.1785714285714279</v>
      </c>
      <c r="L30">
        <f t="shared" ca="1" si="1"/>
        <v>-3</v>
      </c>
      <c r="M30">
        <f t="shared" ca="1" si="2"/>
        <v>6.2678571428571441</v>
      </c>
      <c r="N30">
        <f t="shared" ca="1" si="3"/>
        <v>-4.4464285714285721</v>
      </c>
      <c r="O30">
        <f t="shared" si="4"/>
        <v>9.9999999999999867E-2</v>
      </c>
      <c r="P30">
        <f t="shared" si="5"/>
        <v>1</v>
      </c>
      <c r="R30">
        <f t="shared" ca="1" si="6"/>
        <v>-2.6239107142857154</v>
      </c>
    </row>
    <row r="31" spans="4:18">
      <c r="J31">
        <f t="shared" si="7"/>
        <v>1.2</v>
      </c>
      <c r="K31">
        <f t="shared" ca="1" si="0"/>
        <v>3.1785714285714279</v>
      </c>
      <c r="L31">
        <f t="shared" ca="1" si="1"/>
        <v>-3</v>
      </c>
      <c r="M31">
        <f t="shared" ca="1" si="2"/>
        <v>6.2678571428571441</v>
      </c>
      <c r="N31">
        <f t="shared" ca="1" si="3"/>
        <v>-4.4464285714285721</v>
      </c>
      <c r="O31">
        <f t="shared" si="4"/>
        <v>0.19999999999999996</v>
      </c>
      <c r="P31">
        <f t="shared" si="5"/>
        <v>1</v>
      </c>
      <c r="R31">
        <f t="shared" ca="1" si="6"/>
        <v>-2.1491428571428579</v>
      </c>
    </row>
    <row r="32" spans="4:18">
      <c r="J32">
        <f t="shared" si="7"/>
        <v>1.3</v>
      </c>
      <c r="K32">
        <f t="shared" ca="1" si="0"/>
        <v>3.1785714285714279</v>
      </c>
      <c r="L32">
        <f t="shared" ca="1" si="1"/>
        <v>-3</v>
      </c>
      <c r="M32">
        <f t="shared" ca="1" si="2"/>
        <v>6.2678571428571441</v>
      </c>
      <c r="N32">
        <f t="shared" ca="1" si="3"/>
        <v>-4.4464285714285721</v>
      </c>
      <c r="O32">
        <f t="shared" si="4"/>
        <v>0.30000000000000004</v>
      </c>
      <c r="P32">
        <f t="shared" si="5"/>
        <v>1</v>
      </c>
      <c r="R32">
        <f t="shared" ca="1" si="6"/>
        <v>-1.6023750000000001</v>
      </c>
    </row>
    <row r="33" spans="10:18">
      <c r="J33">
        <f t="shared" si="7"/>
        <v>1.4000000000000001</v>
      </c>
      <c r="K33">
        <f t="shared" ca="1" si="0"/>
        <v>3.1785714285714279</v>
      </c>
      <c r="L33">
        <f t="shared" ca="1" si="1"/>
        <v>-3</v>
      </c>
      <c r="M33">
        <f t="shared" ca="1" si="2"/>
        <v>6.2678571428571441</v>
      </c>
      <c r="N33">
        <f t="shared" ca="1" si="3"/>
        <v>-4.4464285714285721</v>
      </c>
      <c r="O33">
        <f t="shared" si="4"/>
        <v>0.40000000000000013</v>
      </c>
      <c r="P33">
        <f t="shared" si="5"/>
        <v>1</v>
      </c>
      <c r="R33">
        <f t="shared" ca="1" si="6"/>
        <v>-1.0102857142857136</v>
      </c>
    </row>
    <row r="34" spans="10:18">
      <c r="J34">
        <f t="shared" si="7"/>
        <v>1.5000000000000002</v>
      </c>
      <c r="K34">
        <f t="shared" ca="1" si="0"/>
        <v>3.1785714285714279</v>
      </c>
      <c r="L34">
        <f t="shared" ca="1" si="1"/>
        <v>-3</v>
      </c>
      <c r="M34">
        <f t="shared" ca="1" si="2"/>
        <v>6.2678571428571441</v>
      </c>
      <c r="N34">
        <f t="shared" ca="1" si="3"/>
        <v>-4.4464285714285721</v>
      </c>
      <c r="O34">
        <f t="shared" si="4"/>
        <v>0.50000000000000022</v>
      </c>
      <c r="P34">
        <f t="shared" si="5"/>
        <v>1</v>
      </c>
      <c r="R34">
        <f t="shared" ca="1" si="6"/>
        <v>-0.39955357142857029</v>
      </c>
    </row>
    <row r="35" spans="10:18">
      <c r="J35">
        <f t="shared" si="7"/>
        <v>1.6000000000000003</v>
      </c>
      <c r="K35">
        <f t="shared" ca="1" si="0"/>
        <v>3.1785714285714279</v>
      </c>
      <c r="L35">
        <f t="shared" ca="1" si="1"/>
        <v>-3</v>
      </c>
      <c r="M35">
        <f t="shared" ca="1" si="2"/>
        <v>6.2678571428571441</v>
      </c>
      <c r="N35">
        <f t="shared" ca="1" si="3"/>
        <v>-4.4464285714285721</v>
      </c>
      <c r="O35">
        <f t="shared" si="4"/>
        <v>0.60000000000000031</v>
      </c>
      <c r="P35">
        <f t="shared" si="5"/>
        <v>1</v>
      </c>
      <c r="R35">
        <f t="shared" ca="1" si="6"/>
        <v>0.20314285714285896</v>
      </c>
    </row>
    <row r="36" spans="10:18">
      <c r="J36">
        <f t="shared" si="7"/>
        <v>1.7000000000000004</v>
      </c>
      <c r="K36">
        <f t="shared" ca="1" si="0"/>
        <v>3.1785714285714279</v>
      </c>
      <c r="L36">
        <f t="shared" ca="1" si="1"/>
        <v>-3</v>
      </c>
      <c r="M36">
        <f t="shared" ca="1" si="2"/>
        <v>6.2678571428571441</v>
      </c>
      <c r="N36">
        <f t="shared" ca="1" si="3"/>
        <v>-4.4464285714285721</v>
      </c>
      <c r="O36">
        <f t="shared" si="4"/>
        <v>0.7000000000000004</v>
      </c>
      <c r="P36">
        <f t="shared" si="5"/>
        <v>1</v>
      </c>
      <c r="R36">
        <f t="shared" ca="1" si="6"/>
        <v>0.77112500000000228</v>
      </c>
    </row>
    <row r="37" spans="10:18">
      <c r="J37">
        <f t="shared" si="7"/>
        <v>1.8000000000000005</v>
      </c>
      <c r="K37">
        <f t="shared" ca="1" si="0"/>
        <v>3.1785714285714279</v>
      </c>
      <c r="L37">
        <f t="shared" ca="1" si="1"/>
        <v>-3</v>
      </c>
      <c r="M37">
        <f t="shared" ca="1" si="2"/>
        <v>6.2678571428571441</v>
      </c>
      <c r="N37">
        <f t="shared" ca="1" si="3"/>
        <v>-4.4464285714285721</v>
      </c>
      <c r="O37">
        <f t="shared" si="4"/>
        <v>0.80000000000000049</v>
      </c>
      <c r="P37">
        <f t="shared" si="5"/>
        <v>1</v>
      </c>
      <c r="R37">
        <f t="shared" ca="1" si="6"/>
        <v>1.2777142857142882</v>
      </c>
    </row>
    <row r="38" spans="10:18">
      <c r="J38">
        <f t="shared" si="7"/>
        <v>1.9000000000000006</v>
      </c>
      <c r="K38">
        <f t="shared" ca="1" si="0"/>
        <v>3.1785714285714279</v>
      </c>
      <c r="L38">
        <f t="shared" ca="1" si="1"/>
        <v>-3</v>
      </c>
      <c r="M38">
        <f t="shared" ca="1" si="2"/>
        <v>6.2678571428571441</v>
      </c>
      <c r="N38">
        <f t="shared" ca="1" si="3"/>
        <v>-4.4464285714285721</v>
      </c>
      <c r="O38">
        <f t="shared" si="4"/>
        <v>0.90000000000000058</v>
      </c>
      <c r="P38">
        <f t="shared" si="5"/>
        <v>1</v>
      </c>
      <c r="R38">
        <f t="shared" ca="1" si="6"/>
        <v>1.6962321428571454</v>
      </c>
    </row>
    <row r="39" spans="10:18">
      <c r="J39">
        <f t="shared" si="7"/>
        <v>2.0000000000000004</v>
      </c>
      <c r="K39">
        <f t="shared" ca="1" si="0"/>
        <v>2.375</v>
      </c>
      <c r="L39">
        <f t="shared" ca="1" si="1"/>
        <v>2</v>
      </c>
      <c r="M39">
        <f t="shared" ca="1" si="2"/>
        <v>-7.0714285714285712</v>
      </c>
      <c r="N39">
        <f t="shared" ca="1" si="3"/>
        <v>3.6964285714285712</v>
      </c>
      <c r="O39">
        <f t="shared" si="4"/>
        <v>0</v>
      </c>
      <c r="P39">
        <f t="shared" si="5"/>
        <v>2</v>
      </c>
      <c r="R39">
        <f t="shared" ca="1" si="6"/>
        <v>2</v>
      </c>
    </row>
    <row r="40" spans="10:18">
      <c r="J40">
        <f t="shared" si="7"/>
        <v>2.1000000000000005</v>
      </c>
      <c r="K40">
        <f t="shared" ca="1" si="0"/>
        <v>2.375</v>
      </c>
      <c r="L40">
        <f t="shared" ca="1" si="1"/>
        <v>2</v>
      </c>
      <c r="M40">
        <f t="shared" ca="1" si="2"/>
        <v>-7.0714285714285712</v>
      </c>
      <c r="N40">
        <f t="shared" ca="1" si="3"/>
        <v>3.6964285714285712</v>
      </c>
      <c r="O40">
        <f t="shared" si="4"/>
        <v>0.10000000000000053</v>
      </c>
      <c r="P40">
        <f t="shared" si="5"/>
        <v>2</v>
      </c>
      <c r="R40">
        <f t="shared" ca="1" si="6"/>
        <v>2.1704821428571432</v>
      </c>
    </row>
    <row r="41" spans="10:18">
      <c r="J41">
        <f t="shared" si="7"/>
        <v>2.2000000000000006</v>
      </c>
      <c r="K41">
        <f t="shared" ca="1" si="0"/>
        <v>2.375</v>
      </c>
      <c r="L41">
        <f t="shared" ca="1" si="1"/>
        <v>2</v>
      </c>
      <c r="M41">
        <f t="shared" ca="1" si="2"/>
        <v>-7.0714285714285712</v>
      </c>
      <c r="N41">
        <f t="shared" ca="1" si="3"/>
        <v>3.6964285714285712</v>
      </c>
      <c r="O41">
        <f t="shared" si="4"/>
        <v>0.20000000000000062</v>
      </c>
      <c r="P41">
        <f t="shared" si="5"/>
        <v>2</v>
      </c>
      <c r="R41">
        <f t="shared" ca="1" si="6"/>
        <v>2.2217142857142855</v>
      </c>
    </row>
    <row r="42" spans="10:18">
      <c r="J42">
        <f t="shared" si="7"/>
        <v>2.3000000000000007</v>
      </c>
      <c r="K42">
        <f t="shared" ca="1" si="0"/>
        <v>2.375</v>
      </c>
      <c r="L42">
        <f t="shared" ca="1" si="1"/>
        <v>2</v>
      </c>
      <c r="M42">
        <f t="shared" ca="1" si="2"/>
        <v>-7.0714285714285712</v>
      </c>
      <c r="N42">
        <f t="shared" ca="1" si="3"/>
        <v>3.6964285714285712</v>
      </c>
      <c r="O42">
        <f t="shared" si="4"/>
        <v>0.30000000000000071</v>
      </c>
      <c r="P42">
        <f t="shared" si="5"/>
        <v>2</v>
      </c>
      <c r="R42">
        <f t="shared" ca="1" si="6"/>
        <v>2.1758749999999991</v>
      </c>
    </row>
    <row r="43" spans="10:18">
      <c r="J43">
        <f t="shared" si="7"/>
        <v>2.4000000000000008</v>
      </c>
      <c r="K43">
        <f t="shared" ca="1" si="0"/>
        <v>2.375</v>
      </c>
      <c r="L43">
        <f t="shared" ca="1" si="1"/>
        <v>2</v>
      </c>
      <c r="M43">
        <f t="shared" ca="1" si="2"/>
        <v>-7.0714285714285712</v>
      </c>
      <c r="N43">
        <f t="shared" ca="1" si="3"/>
        <v>3.6964285714285712</v>
      </c>
      <c r="O43">
        <f t="shared" si="4"/>
        <v>0.4000000000000008</v>
      </c>
      <c r="P43">
        <f t="shared" si="5"/>
        <v>2</v>
      </c>
      <c r="R43">
        <f t="shared" ca="1" si="6"/>
        <v>2.0551428571428563</v>
      </c>
    </row>
    <row r="44" spans="10:18">
      <c r="J44">
        <f t="shared" si="7"/>
        <v>2.5000000000000009</v>
      </c>
      <c r="K44">
        <f t="shared" ca="1" si="0"/>
        <v>2.375</v>
      </c>
      <c r="L44">
        <f t="shared" ca="1" si="1"/>
        <v>2</v>
      </c>
      <c r="M44">
        <f t="shared" ca="1" si="2"/>
        <v>-7.0714285714285712</v>
      </c>
      <c r="N44">
        <f t="shared" ca="1" si="3"/>
        <v>3.6964285714285712</v>
      </c>
      <c r="O44">
        <f t="shared" si="4"/>
        <v>0.50000000000000089</v>
      </c>
      <c r="P44">
        <f t="shared" si="5"/>
        <v>2</v>
      </c>
      <c r="R44">
        <f t="shared" ca="1" si="6"/>
        <v>1.881696428571427</v>
      </c>
    </row>
    <row r="45" spans="10:18">
      <c r="J45">
        <f t="shared" si="7"/>
        <v>2.600000000000001</v>
      </c>
      <c r="K45">
        <f t="shared" ca="1" si="0"/>
        <v>2.375</v>
      </c>
      <c r="L45">
        <f t="shared" ca="1" si="1"/>
        <v>2</v>
      </c>
      <c r="M45">
        <f t="shared" ca="1" si="2"/>
        <v>-7.0714285714285712</v>
      </c>
      <c r="N45">
        <f t="shared" ca="1" si="3"/>
        <v>3.6964285714285712</v>
      </c>
      <c r="O45">
        <f t="shared" si="4"/>
        <v>0.60000000000000098</v>
      </c>
      <c r="P45">
        <f t="shared" si="5"/>
        <v>2</v>
      </c>
      <c r="R45">
        <f t="shared" ca="1" si="6"/>
        <v>1.6777142857142839</v>
      </c>
    </row>
    <row r="46" spans="10:18">
      <c r="J46">
        <f t="shared" si="7"/>
        <v>2.7000000000000011</v>
      </c>
      <c r="K46">
        <f t="shared" ca="1" si="0"/>
        <v>2.375</v>
      </c>
      <c r="L46">
        <f t="shared" ca="1" si="1"/>
        <v>2</v>
      </c>
      <c r="M46">
        <f t="shared" ca="1" si="2"/>
        <v>-7.0714285714285712</v>
      </c>
      <c r="N46">
        <f t="shared" ca="1" si="3"/>
        <v>3.6964285714285712</v>
      </c>
      <c r="O46">
        <f t="shared" si="4"/>
        <v>0.70000000000000107</v>
      </c>
      <c r="P46">
        <f t="shared" si="5"/>
        <v>2</v>
      </c>
      <c r="R46">
        <f t="shared" ca="1" si="6"/>
        <v>1.4653749999999977</v>
      </c>
    </row>
    <row r="47" spans="10:18">
      <c r="J47">
        <f t="shared" si="7"/>
        <v>2.8000000000000012</v>
      </c>
      <c r="K47">
        <f t="shared" ca="1" si="0"/>
        <v>2.375</v>
      </c>
      <c r="L47">
        <f t="shared" ca="1" si="1"/>
        <v>2</v>
      </c>
      <c r="M47">
        <f t="shared" ca="1" si="2"/>
        <v>-7.0714285714285712</v>
      </c>
      <c r="N47">
        <f t="shared" ca="1" si="3"/>
        <v>3.6964285714285712</v>
      </c>
      <c r="O47">
        <f t="shared" si="4"/>
        <v>0.80000000000000115</v>
      </c>
      <c r="P47">
        <f t="shared" si="5"/>
        <v>2</v>
      </c>
      <c r="R47">
        <f t="shared" ca="1" si="6"/>
        <v>1.2668571428571407</v>
      </c>
    </row>
    <row r="48" spans="10:18">
      <c r="J48">
        <f t="shared" si="7"/>
        <v>2.9000000000000012</v>
      </c>
      <c r="K48">
        <f t="shared" ca="1" si="0"/>
        <v>2.375</v>
      </c>
      <c r="L48">
        <f t="shared" ca="1" si="1"/>
        <v>2</v>
      </c>
      <c r="M48">
        <f t="shared" ca="1" si="2"/>
        <v>-7.0714285714285712</v>
      </c>
      <c r="N48">
        <f t="shared" ca="1" si="3"/>
        <v>3.6964285714285712</v>
      </c>
      <c r="O48">
        <f t="shared" si="4"/>
        <v>0.90000000000000124</v>
      </c>
      <c r="P48">
        <f t="shared" si="5"/>
        <v>2</v>
      </c>
      <c r="R48">
        <f t="shared" ca="1" si="6"/>
        <v>1.1043392857142842</v>
      </c>
    </row>
    <row r="49" spans="10:18">
      <c r="J49">
        <f t="shared" si="7"/>
        <v>3.0000000000000013</v>
      </c>
      <c r="K49">
        <f t="shared" ca="1" si="0"/>
        <v>-0.6785714285714286</v>
      </c>
      <c r="L49">
        <f t="shared" ca="1" si="1"/>
        <v>1</v>
      </c>
      <c r="M49">
        <f t="shared" ca="1" si="2"/>
        <v>4.0178571428571441</v>
      </c>
      <c r="N49">
        <f t="shared" ca="1" si="3"/>
        <v>-1.3392857142857149</v>
      </c>
      <c r="O49">
        <f t="shared" si="4"/>
        <v>0</v>
      </c>
      <c r="P49">
        <f t="shared" si="5"/>
        <v>3</v>
      </c>
      <c r="R49">
        <f t="shared" ca="1" si="6"/>
        <v>1</v>
      </c>
    </row>
    <row r="50" spans="10:18">
      <c r="J50">
        <f t="shared" si="7"/>
        <v>3.1000000000000014</v>
      </c>
      <c r="K50">
        <f t="shared" ca="1" si="0"/>
        <v>-0.6785714285714286</v>
      </c>
      <c r="L50">
        <f t="shared" ca="1" si="1"/>
        <v>1</v>
      </c>
      <c r="M50">
        <f t="shared" ca="1" si="2"/>
        <v>4.0178571428571441</v>
      </c>
      <c r="N50">
        <f t="shared" ca="1" si="3"/>
        <v>-1.3392857142857149</v>
      </c>
      <c r="O50">
        <f t="shared" si="4"/>
        <v>0.10000000000000142</v>
      </c>
      <c r="P50">
        <f t="shared" si="5"/>
        <v>3</v>
      </c>
      <c r="R50">
        <f t="shared" ca="1" si="6"/>
        <v>0.97098214285714302</v>
      </c>
    </row>
    <row r="51" spans="10:18">
      <c r="J51">
        <f t="shared" si="7"/>
        <v>3.2000000000000015</v>
      </c>
      <c r="K51">
        <f t="shared" ca="1" si="0"/>
        <v>-0.6785714285714286</v>
      </c>
      <c r="L51">
        <f t="shared" ca="1" si="1"/>
        <v>1</v>
      </c>
      <c r="M51">
        <f t="shared" ca="1" si="2"/>
        <v>4.0178571428571441</v>
      </c>
      <c r="N51">
        <f t="shared" ca="1" si="3"/>
        <v>-1.3392857142857149</v>
      </c>
      <c r="O51">
        <f t="shared" si="4"/>
        <v>0.20000000000000151</v>
      </c>
      <c r="P51">
        <f t="shared" si="5"/>
        <v>3</v>
      </c>
      <c r="R51">
        <f t="shared" ca="1" si="6"/>
        <v>1.0142857142857156</v>
      </c>
    </row>
    <row r="52" spans="10:18">
      <c r="J52">
        <f t="shared" si="7"/>
        <v>3.3000000000000016</v>
      </c>
      <c r="K52">
        <f t="shared" ca="1" si="0"/>
        <v>-0.6785714285714286</v>
      </c>
      <c r="L52">
        <f t="shared" ca="1" si="1"/>
        <v>1</v>
      </c>
      <c r="M52">
        <f t="shared" ca="1" si="2"/>
        <v>4.0178571428571441</v>
      </c>
      <c r="N52">
        <f t="shared" ca="1" si="3"/>
        <v>-1.3392857142857149</v>
      </c>
      <c r="O52">
        <f t="shared" si="4"/>
        <v>0.3000000000000016</v>
      </c>
      <c r="P52">
        <f t="shared" si="5"/>
        <v>3</v>
      </c>
      <c r="R52">
        <f t="shared" ca="1" si="6"/>
        <v>1.1218750000000024</v>
      </c>
    </row>
    <row r="53" spans="10:18" s="775" customFormat="1">
      <c r="J53" s="775">
        <f t="shared" si="7"/>
        <v>3.4000000000000017</v>
      </c>
      <c r="K53" s="775">
        <f t="shared" ca="1" si="0"/>
        <v>-0.6785714285714286</v>
      </c>
      <c r="L53" s="775">
        <f t="shared" ca="1" si="1"/>
        <v>1</v>
      </c>
      <c r="M53" s="775">
        <f t="shared" ca="1" si="2"/>
        <v>4.0178571428571441</v>
      </c>
      <c r="N53">
        <f t="shared" ca="1" si="3"/>
        <v>-1.3392857142857149</v>
      </c>
      <c r="O53">
        <f t="shared" si="4"/>
        <v>0.40000000000000169</v>
      </c>
      <c r="P53" s="775">
        <f t="shared" si="5"/>
        <v>3</v>
      </c>
      <c r="R53" s="775">
        <f t="shared" ca="1" si="6"/>
        <v>1.2857142857142891</v>
      </c>
    </row>
    <row r="54" spans="10:18" s="6" customFormat="1">
      <c r="J54" s="6">
        <f t="shared" si="7"/>
        <v>3.5000000000000018</v>
      </c>
      <c r="K54" s="6">
        <f t="shared" ca="1" si="0"/>
        <v>-0.6785714285714286</v>
      </c>
      <c r="L54" s="6">
        <f t="shared" ca="1" si="1"/>
        <v>1</v>
      </c>
      <c r="M54" s="6">
        <f t="shared" ca="1" si="2"/>
        <v>4.0178571428571441</v>
      </c>
      <c r="N54">
        <f t="shared" ca="1" si="3"/>
        <v>-1.3392857142857149</v>
      </c>
      <c r="O54">
        <f t="shared" si="4"/>
        <v>0.50000000000000178</v>
      </c>
      <c r="P54" s="6">
        <f t="shared" si="5"/>
        <v>3</v>
      </c>
      <c r="R54" s="6">
        <f t="shared" ca="1" si="6"/>
        <v>1.4977678571428614</v>
      </c>
    </row>
    <row r="55" spans="10:18">
      <c r="J55">
        <f t="shared" si="7"/>
        <v>3.6000000000000019</v>
      </c>
      <c r="K55">
        <f t="shared" ca="1" si="0"/>
        <v>-0.6785714285714286</v>
      </c>
      <c r="L55">
        <f t="shared" ca="1" si="1"/>
        <v>1</v>
      </c>
      <c r="M55">
        <f t="shared" ca="1" si="2"/>
        <v>4.0178571428571441</v>
      </c>
      <c r="N55">
        <f t="shared" ca="1" si="3"/>
        <v>-1.3392857142857149</v>
      </c>
      <c r="O55">
        <f t="shared" si="4"/>
        <v>0.60000000000000187</v>
      </c>
      <c r="P55">
        <f t="shared" si="5"/>
        <v>3</v>
      </c>
      <c r="R55">
        <f t="shared" ca="1" si="6"/>
        <v>1.7500000000000053</v>
      </c>
    </row>
    <row r="56" spans="10:18">
      <c r="J56">
        <f t="shared" si="7"/>
        <v>3.700000000000002</v>
      </c>
      <c r="K56">
        <f t="shared" ca="1" si="0"/>
        <v>-0.6785714285714286</v>
      </c>
      <c r="L56">
        <f t="shared" ca="1" si="1"/>
        <v>1</v>
      </c>
      <c r="M56">
        <f t="shared" ca="1" si="2"/>
        <v>4.0178571428571441</v>
      </c>
      <c r="N56">
        <f t="shared" ca="1" si="3"/>
        <v>-1.3392857142857149</v>
      </c>
      <c r="O56">
        <f t="shared" si="4"/>
        <v>0.70000000000000195</v>
      </c>
      <c r="P56">
        <f t="shared" si="5"/>
        <v>3</v>
      </c>
      <c r="R56">
        <f t="shared" ca="1" si="6"/>
        <v>2.034375000000006</v>
      </c>
    </row>
    <row r="57" spans="10:18">
      <c r="J57">
        <f t="shared" si="7"/>
        <v>3.800000000000002</v>
      </c>
      <c r="K57">
        <f t="shared" ca="1" si="0"/>
        <v>-0.6785714285714286</v>
      </c>
      <c r="L57">
        <f t="shared" ca="1" si="1"/>
        <v>1</v>
      </c>
      <c r="M57">
        <f t="shared" ca="1" si="2"/>
        <v>4.0178571428571441</v>
      </c>
      <c r="N57">
        <f t="shared" ca="1" si="3"/>
        <v>-1.3392857142857149</v>
      </c>
      <c r="O57">
        <f t="shared" si="4"/>
        <v>0.80000000000000204</v>
      </c>
      <c r="P57">
        <f t="shared" si="5"/>
        <v>3</v>
      </c>
      <c r="R57">
        <f t="shared" ca="1" si="6"/>
        <v>2.3428571428571496</v>
      </c>
    </row>
    <row r="58" spans="10:18">
      <c r="J58">
        <f t="shared" si="7"/>
        <v>3.9000000000000021</v>
      </c>
      <c r="K58">
        <f t="shared" ca="1" si="0"/>
        <v>-0.6785714285714286</v>
      </c>
      <c r="L58">
        <f t="shared" ca="1" si="1"/>
        <v>1</v>
      </c>
      <c r="M58">
        <f t="shared" ca="1" si="2"/>
        <v>4.0178571428571441</v>
      </c>
      <c r="N58">
        <f t="shared" ca="1" si="3"/>
        <v>-1.3392857142857149</v>
      </c>
      <c r="O58">
        <f t="shared" si="4"/>
        <v>0.90000000000000213</v>
      </c>
      <c r="P58">
        <f t="shared" si="5"/>
        <v>3</v>
      </c>
      <c r="R58">
        <f t="shared" ca="1" si="6"/>
        <v>2.667410714285722</v>
      </c>
    </row>
    <row r="59" spans="10:18">
      <c r="J59">
        <f t="shared" si="7"/>
        <v>4.0000000000000018</v>
      </c>
      <c r="K59">
        <f t="shared" ca="1" si="0"/>
        <v>3.339285714285714</v>
      </c>
      <c r="L59">
        <f t="shared" ca="1" si="1"/>
        <v>3</v>
      </c>
      <c r="M59">
        <f t="shared" ca="1" si="2"/>
        <v>0</v>
      </c>
      <c r="N59">
        <f t="shared" ca="1" si="3"/>
        <v>0</v>
      </c>
      <c r="O59">
        <f t="shared" si="4"/>
        <v>0</v>
      </c>
      <c r="P59">
        <f t="shared" si="5"/>
        <v>4</v>
      </c>
      <c r="R59">
        <f t="shared" ca="1" si="6"/>
        <v>3</v>
      </c>
    </row>
  </sheetData>
  <sheetProtection algorithmName="SHA-512" hashValue="U0Fk2DivUNqX23VAT4hkke08cAgOzpdyGEr0z5yNkUL6LEh28Mv3zE7EJvP1MG7dtWd/ojuTPPpsjQXVaM7U+g==" saltValue="bxflWGJpm/xqnaWb10Af1g==" spinCount="100000" sheet="1" objects="1" scenarios="1"/>
  <phoneticPr fontId="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C1:P51"/>
  <sheetViews>
    <sheetView showGridLines="0" showRowColHeaders="0" workbookViewId="0"/>
  </sheetViews>
  <sheetFormatPr defaultColWidth="0" defaultRowHeight="12.5" zeroHeight="1"/>
  <cols>
    <col min="1" max="2" width="1" style="80" customWidth="1"/>
    <col min="3" max="7" width="8.453125" style="80" customWidth="1"/>
    <col min="8" max="8" width="15.7265625" style="80" customWidth="1"/>
    <col min="9" max="9" width="1.81640625" style="80" customWidth="1"/>
    <col min="10" max="15" width="8.453125" style="80" customWidth="1"/>
    <col min="16" max="16" width="8.54296875" style="83" customWidth="1"/>
    <col min="17" max="17" width="1.81640625" style="80" customWidth="1"/>
    <col min="18" max="16384" width="0" style="80" hidden="1"/>
  </cols>
  <sheetData>
    <row r="1" spans="3:16"/>
    <row r="2" spans="3:16">
      <c r="C2" s="269"/>
      <c r="D2" s="269"/>
      <c r="E2" s="269"/>
      <c r="F2" s="269"/>
      <c r="G2" s="1575"/>
      <c r="H2" s="1575"/>
      <c r="I2" s="1575"/>
      <c r="J2" s="1575"/>
      <c r="K2" s="1575"/>
      <c r="L2" s="1575"/>
      <c r="M2" s="269"/>
      <c r="N2" s="269"/>
      <c r="O2" s="269"/>
      <c r="P2" s="437"/>
    </row>
    <row r="3" spans="3:16" ht="16" thickBot="1">
      <c r="C3" s="443" t="s">
        <v>1439</v>
      </c>
    </row>
    <row r="4" spans="3:16" ht="13.5" customHeight="1" thickTop="1">
      <c r="N4" s="1521" t="str">
        <f ca="1">OFFSET(ad_first,OFFSET(ads_top,ROW(ads_looking_up)-1,1),0)</f>
        <v>Attend one of our workshops and learn how to use a wide range of spreadsheet functions in practical finance settings</v>
      </c>
      <c r="O4" s="1522"/>
      <c r="P4" s="1523"/>
    </row>
    <row r="5" spans="3:16">
      <c r="C5" s="1492" t="s">
        <v>139</v>
      </c>
      <c r="D5" s="1492"/>
      <c r="E5" s="1492"/>
      <c r="F5" s="1492"/>
      <c r="G5" s="1492"/>
      <c r="H5" s="1492"/>
      <c r="I5" s="1492"/>
      <c r="J5" s="1492"/>
      <c r="K5" s="1492"/>
      <c r="L5" s="1492"/>
      <c r="M5" s="777"/>
      <c r="N5" s="1524"/>
      <c r="O5" s="1525"/>
      <c r="P5" s="1526"/>
    </row>
    <row r="6" spans="3:16">
      <c r="C6" s="1492"/>
      <c r="D6" s="1492"/>
      <c r="E6" s="1492"/>
      <c r="F6" s="1492"/>
      <c r="G6" s="1492"/>
      <c r="H6" s="1492"/>
      <c r="I6" s="1492"/>
      <c r="J6" s="1492"/>
      <c r="K6" s="1492"/>
      <c r="L6" s="1492"/>
      <c r="M6" s="777"/>
      <c r="N6" s="1524"/>
      <c r="O6" s="1525"/>
      <c r="P6" s="1526"/>
    </row>
    <row r="7" spans="3:16">
      <c r="C7" s="1492"/>
      <c r="D7" s="1492"/>
      <c r="E7" s="1492"/>
      <c r="F7" s="1492"/>
      <c r="G7" s="1492"/>
      <c r="H7" s="1492"/>
      <c r="I7" s="1492"/>
      <c r="J7" s="1492"/>
      <c r="K7" s="1492"/>
      <c r="L7" s="1492"/>
      <c r="M7" s="777"/>
      <c r="N7" s="1524"/>
      <c r="O7" s="1525"/>
      <c r="P7" s="1526"/>
    </row>
    <row r="8" spans="3:16" ht="13" thickBot="1">
      <c r="C8" s="1492"/>
      <c r="D8" s="1492"/>
      <c r="E8" s="1492"/>
      <c r="F8" s="1492"/>
      <c r="G8" s="1492"/>
      <c r="H8" s="1492"/>
      <c r="I8" s="1492"/>
      <c r="J8" s="1492"/>
      <c r="K8" s="1492"/>
      <c r="L8" s="1492"/>
      <c r="M8" s="777"/>
      <c r="N8" s="1527"/>
      <c r="O8" s="1528"/>
      <c r="P8" s="1529"/>
    </row>
    <row r="9" spans="3:16" ht="13" thickTop="1">
      <c r="C9" s="1492"/>
      <c r="D9" s="1492"/>
      <c r="E9" s="1492"/>
      <c r="F9" s="1492"/>
      <c r="G9" s="1492"/>
      <c r="H9" s="1492"/>
      <c r="I9" s="1492"/>
      <c r="J9" s="1492"/>
      <c r="K9" s="1492"/>
      <c r="L9" s="1492"/>
      <c r="M9" s="777"/>
      <c r="N9" s="1310"/>
      <c r="O9" s="1311"/>
      <c r="P9" s="1311"/>
    </row>
    <row r="10" spans="3:16">
      <c r="C10" s="1492"/>
      <c r="D10" s="1492"/>
      <c r="E10" s="1492"/>
      <c r="F10" s="1492"/>
      <c r="G10" s="1492"/>
      <c r="H10" s="1492"/>
      <c r="I10" s="1492"/>
      <c r="J10" s="1492"/>
      <c r="K10" s="1492"/>
      <c r="L10" s="1492"/>
      <c r="M10" s="777"/>
      <c r="N10" s="1310"/>
      <c r="O10" s="1311"/>
      <c r="P10" s="1311"/>
    </row>
    <row r="11" spans="3:16" ht="13">
      <c r="C11" s="1492"/>
      <c r="D11" s="1492"/>
      <c r="E11" s="1492"/>
      <c r="F11" s="1492"/>
      <c r="G11" s="1492"/>
      <c r="H11" s="1492"/>
      <c r="I11" s="1492"/>
      <c r="J11" s="1492"/>
      <c r="K11" s="1492"/>
      <c r="L11" s="1492"/>
      <c r="M11" s="777"/>
      <c r="N11" s="1165"/>
      <c r="O11" s="1165"/>
      <c r="P11" s="1165"/>
    </row>
    <row r="12" spans="3:16"/>
    <row r="13" spans="3:16" ht="13">
      <c r="C13" s="128" t="str">
        <f>functions_used</f>
        <v>Spreadsheet functions used in this example</v>
      </c>
    </row>
    <row r="14" spans="3:16">
      <c r="C14" s="80" t="str">
        <f>functions_looking_up</f>
        <v>AND, Arrays, Conditional format, MATCH, MAX, MIN, OFFSET, ROW, SUMPRODUCT, VLOOKUP</v>
      </c>
    </row>
    <row r="15" spans="3:16">
      <c r="C15" s="32"/>
      <c r="D15" s="32"/>
      <c r="E15" s="32"/>
      <c r="F15" s="32"/>
      <c r="G15" s="32"/>
      <c r="H15" s="32"/>
      <c r="I15" s="73"/>
      <c r="J15" s="73"/>
      <c r="K15" s="73"/>
      <c r="L15" s="73"/>
      <c r="M15" s="73"/>
      <c r="N15" s="32"/>
      <c r="O15" s="32"/>
      <c r="P15" s="144"/>
    </row>
    <row r="16" spans="3:16">
      <c r="C16" s="1483" t="s">
        <v>1455</v>
      </c>
      <c r="D16" s="1483"/>
      <c r="E16" s="1483"/>
      <c r="F16" s="1483"/>
      <c r="G16" s="1483"/>
      <c r="H16" s="1483"/>
      <c r="I16" s="1483"/>
      <c r="J16" s="1483"/>
      <c r="K16" s="1483"/>
      <c r="L16" s="1483"/>
      <c r="M16" s="1483"/>
      <c r="N16" s="1483"/>
      <c r="O16" s="1483"/>
      <c r="P16" s="1483"/>
    </row>
    <row r="17" spans="3:16" ht="6" customHeight="1">
      <c r="C17" s="75"/>
      <c r="D17" s="75"/>
      <c r="E17" s="75"/>
      <c r="F17" s="75"/>
      <c r="G17" s="75"/>
      <c r="H17" s="75"/>
    </row>
    <row r="18" spans="3:16" ht="13">
      <c r="C18" s="1493" t="s">
        <v>612</v>
      </c>
      <c r="D18" s="1518"/>
      <c r="E18" s="1518"/>
      <c r="F18" s="1518"/>
      <c r="G18" s="1518"/>
      <c r="H18" s="1518"/>
      <c r="J18" s="450"/>
      <c r="K18" s="451">
        <v>2005</v>
      </c>
      <c r="L18" s="452">
        <f>K18+1</f>
        <v>2006</v>
      </c>
      <c r="M18" s="452">
        <f>L18+1</f>
        <v>2007</v>
      </c>
      <c r="N18" s="452">
        <f>M18+1</f>
        <v>2008</v>
      </c>
      <c r="O18" s="453">
        <f>N18+1</f>
        <v>2009</v>
      </c>
    </row>
    <row r="19" spans="3:16" ht="13">
      <c r="C19" s="1518"/>
      <c r="D19" s="1518"/>
      <c r="E19" s="1518"/>
      <c r="F19" s="1518"/>
      <c r="G19" s="1518"/>
      <c r="H19" s="1518"/>
      <c r="J19" s="454" t="s">
        <v>1371</v>
      </c>
      <c r="K19" s="455">
        <v>65</v>
      </c>
      <c r="L19" s="456">
        <v>55</v>
      </c>
      <c r="M19" s="456">
        <v>4</v>
      </c>
      <c r="N19" s="456">
        <v>68</v>
      </c>
      <c r="O19" s="457">
        <v>47</v>
      </c>
    </row>
    <row r="20" spans="3:16" ht="13">
      <c r="C20" s="1518"/>
      <c r="D20" s="1518"/>
      <c r="E20" s="1518"/>
      <c r="F20" s="1518"/>
      <c r="G20" s="1518"/>
      <c r="H20" s="1518"/>
      <c r="J20" s="458" t="s">
        <v>1372</v>
      </c>
      <c r="K20" s="459">
        <v>22</v>
      </c>
      <c r="L20" s="460">
        <v>18</v>
      </c>
      <c r="M20" s="460">
        <v>69</v>
      </c>
      <c r="N20" s="460">
        <v>87</v>
      </c>
      <c r="O20" s="461">
        <v>12</v>
      </c>
    </row>
    <row r="21" spans="3:16" ht="13">
      <c r="C21" s="624"/>
      <c r="D21" s="625"/>
      <c r="E21" s="625"/>
      <c r="F21" s="625"/>
      <c r="G21" s="625"/>
      <c r="H21" s="626"/>
      <c r="J21" s="458" t="s">
        <v>1373</v>
      </c>
      <c r="K21" s="459">
        <v>48</v>
      </c>
      <c r="L21" s="460">
        <v>6</v>
      </c>
      <c r="M21" s="460">
        <v>93</v>
      </c>
      <c r="N21" s="460">
        <v>49</v>
      </c>
      <c r="O21" s="461">
        <v>1</v>
      </c>
    </row>
    <row r="22" spans="3:16" ht="13">
      <c r="C22" s="215"/>
      <c r="D22" s="444" t="s">
        <v>1449</v>
      </c>
      <c r="E22" s="445"/>
      <c r="F22" s="445"/>
      <c r="G22" s="446" t="s">
        <v>1380</v>
      </c>
      <c r="H22" s="627"/>
      <c r="J22" s="458" t="s">
        <v>1374</v>
      </c>
      <c r="K22" s="459">
        <v>17</v>
      </c>
      <c r="L22" s="460">
        <v>13</v>
      </c>
      <c r="M22" s="460">
        <v>38</v>
      </c>
      <c r="N22" s="460">
        <v>54</v>
      </c>
      <c r="O22" s="461">
        <v>61</v>
      </c>
    </row>
    <row r="23" spans="3:16" ht="13">
      <c r="C23" s="215"/>
      <c r="D23" s="447" t="s">
        <v>1450</v>
      </c>
      <c r="E23" s="448"/>
      <c r="F23" s="448"/>
      <c r="G23" s="449">
        <v>2008</v>
      </c>
      <c r="H23" s="627"/>
      <c r="J23" s="458" t="s">
        <v>1375</v>
      </c>
      <c r="K23" s="459">
        <v>70</v>
      </c>
      <c r="L23" s="460">
        <v>54</v>
      </c>
      <c r="M23" s="460">
        <v>80</v>
      </c>
      <c r="N23" s="460">
        <v>9</v>
      </c>
      <c r="O23" s="461">
        <v>97</v>
      </c>
    </row>
    <row r="24" spans="3:16" ht="13">
      <c r="C24" s="215"/>
      <c r="D24" s="75"/>
      <c r="E24" s="75"/>
      <c r="F24" s="75"/>
      <c r="G24" s="75"/>
      <c r="H24" s="627"/>
      <c r="J24" s="458" t="s">
        <v>1376</v>
      </c>
      <c r="K24" s="459">
        <v>33</v>
      </c>
      <c r="L24" s="460">
        <v>76</v>
      </c>
      <c r="M24" s="460">
        <v>84</v>
      </c>
      <c r="N24" s="460">
        <v>94</v>
      </c>
      <c r="O24" s="461">
        <v>40</v>
      </c>
    </row>
    <row r="25" spans="3:16" ht="13">
      <c r="C25" s="215"/>
      <c r="D25" s="113" t="s">
        <v>1383</v>
      </c>
      <c r="E25" s="113"/>
      <c r="F25" s="113"/>
      <c r="G25" s="113">
        <f>VLOOKUP(G22,J19:O30,MATCH(G23,J18:O18,0),FALSE)</f>
        <v>72</v>
      </c>
      <c r="H25" s="627"/>
      <c r="J25" s="458" t="s">
        <v>1377</v>
      </c>
      <c r="K25" s="459">
        <v>68</v>
      </c>
      <c r="L25" s="460">
        <v>34</v>
      </c>
      <c r="M25" s="460">
        <v>30</v>
      </c>
      <c r="N25" s="460">
        <v>63</v>
      </c>
      <c r="O25" s="461">
        <v>93</v>
      </c>
    </row>
    <row r="26" spans="3:16" ht="13">
      <c r="C26" s="628"/>
      <c r="D26" s="222"/>
      <c r="E26" s="222"/>
      <c r="F26" s="222"/>
      <c r="G26" s="222"/>
      <c r="H26" s="629"/>
      <c r="J26" s="458" t="s">
        <v>1378</v>
      </c>
      <c r="K26" s="459">
        <v>91</v>
      </c>
      <c r="L26" s="460">
        <v>29</v>
      </c>
      <c r="M26" s="460">
        <v>46</v>
      </c>
      <c r="N26" s="460">
        <v>14</v>
      </c>
      <c r="O26" s="461">
        <v>47</v>
      </c>
    </row>
    <row r="27" spans="3:16" ht="13">
      <c r="C27" s="75"/>
      <c r="D27" s="75"/>
      <c r="E27" s="75"/>
      <c r="F27" s="75"/>
      <c r="G27" s="75"/>
      <c r="H27" s="75"/>
      <c r="J27" s="458" t="s">
        <v>1379</v>
      </c>
      <c r="K27" s="459">
        <v>1</v>
      </c>
      <c r="L27" s="460">
        <v>71</v>
      </c>
      <c r="M27" s="460">
        <v>87</v>
      </c>
      <c r="N27" s="460">
        <v>38</v>
      </c>
      <c r="O27" s="461">
        <v>31</v>
      </c>
    </row>
    <row r="28" spans="3:16" ht="13">
      <c r="C28" s="75"/>
      <c r="D28" s="75"/>
      <c r="E28" s="75"/>
      <c r="F28" s="75"/>
      <c r="G28" s="75"/>
      <c r="H28" s="75"/>
      <c r="J28" s="458" t="s">
        <v>1380</v>
      </c>
      <c r="K28" s="459">
        <v>41</v>
      </c>
      <c r="L28" s="460">
        <v>38</v>
      </c>
      <c r="M28" s="460">
        <v>9</v>
      </c>
      <c r="N28" s="460">
        <v>72</v>
      </c>
      <c r="O28" s="461">
        <v>80</v>
      </c>
    </row>
    <row r="29" spans="3:16" ht="13">
      <c r="C29" s="75"/>
      <c r="D29" s="75"/>
      <c r="E29" s="75"/>
      <c r="F29" s="75"/>
      <c r="G29" s="75"/>
      <c r="H29" s="75"/>
      <c r="J29" s="458" t="s">
        <v>1381</v>
      </c>
      <c r="K29" s="459">
        <v>54</v>
      </c>
      <c r="L29" s="460">
        <v>65</v>
      </c>
      <c r="M29" s="460">
        <v>20</v>
      </c>
      <c r="N29" s="460">
        <v>99</v>
      </c>
      <c r="O29" s="461">
        <v>43</v>
      </c>
    </row>
    <row r="30" spans="3:16" ht="13">
      <c r="C30" s="75"/>
      <c r="D30" s="75"/>
      <c r="E30" s="75"/>
      <c r="F30" s="75"/>
      <c r="G30" s="75"/>
      <c r="H30" s="75"/>
      <c r="J30" s="462" t="s">
        <v>1382</v>
      </c>
      <c r="K30" s="463">
        <v>65</v>
      </c>
      <c r="L30" s="464">
        <v>34</v>
      </c>
      <c r="M30" s="464">
        <v>70</v>
      </c>
      <c r="N30" s="464">
        <v>94</v>
      </c>
      <c r="O30" s="465">
        <v>6</v>
      </c>
    </row>
    <row r="31" spans="3:16"/>
    <row r="32" spans="3:16">
      <c r="C32" s="1483" t="s">
        <v>1456</v>
      </c>
      <c r="D32" s="1483"/>
      <c r="E32" s="1483"/>
      <c r="F32" s="1483"/>
      <c r="G32" s="1483"/>
      <c r="H32" s="1483"/>
      <c r="I32" s="1483"/>
      <c r="J32" s="1483"/>
      <c r="K32" s="1483"/>
      <c r="L32" s="1483"/>
      <c r="M32" s="1483"/>
      <c r="N32" s="1483"/>
      <c r="O32" s="1483"/>
      <c r="P32" s="1483"/>
    </row>
    <row r="33" spans="3:16" ht="6" customHeight="1">
      <c r="C33" s="75"/>
      <c r="D33" s="75"/>
      <c r="E33" s="75"/>
      <c r="F33" s="75"/>
      <c r="G33" s="75"/>
      <c r="H33" s="75"/>
      <c r="P33" s="270"/>
    </row>
    <row r="34" spans="3:16" ht="13">
      <c r="C34" s="1493" t="s">
        <v>611</v>
      </c>
      <c r="D34" s="1518"/>
      <c r="E34" s="1518"/>
      <c r="F34" s="1518"/>
      <c r="G34" s="1518"/>
      <c r="H34" s="1518"/>
      <c r="J34" s="450"/>
      <c r="K34" s="470">
        <v>2005</v>
      </c>
      <c r="L34" s="471">
        <f>K34+1</f>
        <v>2006</v>
      </c>
      <c r="M34" s="471">
        <f>L34+1</f>
        <v>2007</v>
      </c>
      <c r="N34" s="471">
        <f>M34+1</f>
        <v>2008</v>
      </c>
      <c r="O34" s="472">
        <f>N34+1</f>
        <v>2009</v>
      </c>
      <c r="P34" s="270">
        <f>12*(G41-2000)+MATCH(G40,J35:J46,0)-1</f>
        <v>93</v>
      </c>
    </row>
    <row r="35" spans="3:16" ht="13">
      <c r="C35" s="1518"/>
      <c r="D35" s="1518"/>
      <c r="E35" s="1518"/>
      <c r="F35" s="1518"/>
      <c r="G35" s="1518"/>
      <c r="H35" s="1518"/>
      <c r="J35" s="473" t="s">
        <v>1371</v>
      </c>
      <c r="K35" s="460">
        <v>65</v>
      </c>
      <c r="L35" s="460">
        <v>55</v>
      </c>
      <c r="M35" s="460">
        <v>4</v>
      </c>
      <c r="N35" s="460">
        <v>68</v>
      </c>
      <c r="O35" s="461">
        <v>47</v>
      </c>
      <c r="P35" s="270">
        <f>12*(G43-2000)+MATCH(G42,J35:J46,0)-1</f>
        <v>112</v>
      </c>
    </row>
    <row r="36" spans="3:16" ht="13">
      <c r="C36" s="1518"/>
      <c r="D36" s="1518"/>
      <c r="E36" s="1518"/>
      <c r="F36" s="1518"/>
      <c r="G36" s="1518"/>
      <c r="H36" s="1518"/>
      <c r="J36" s="474" t="s">
        <v>1372</v>
      </c>
      <c r="K36" s="460">
        <v>22</v>
      </c>
      <c r="L36" s="460">
        <v>18</v>
      </c>
      <c r="M36" s="460">
        <v>69</v>
      </c>
      <c r="N36" s="460">
        <v>87</v>
      </c>
      <c r="O36" s="461">
        <v>12</v>
      </c>
      <c r="P36" s="270"/>
    </row>
    <row r="37" spans="3:16" ht="13">
      <c r="J37" s="474" t="s">
        <v>1373</v>
      </c>
      <c r="K37" s="460">
        <v>48</v>
      </c>
      <c r="L37" s="460">
        <v>6</v>
      </c>
      <c r="M37" s="460">
        <v>93</v>
      </c>
      <c r="N37" s="460">
        <v>49</v>
      </c>
      <c r="O37" s="461">
        <v>1</v>
      </c>
      <c r="P37" s="270">
        <f>MIN(P34:P35)</f>
        <v>93</v>
      </c>
    </row>
    <row r="38" spans="3:16" ht="13">
      <c r="C38" s="630"/>
      <c r="D38" s="631"/>
      <c r="E38" s="631"/>
      <c r="F38" s="631"/>
      <c r="G38" s="631"/>
      <c r="H38" s="632"/>
      <c r="J38" s="474" t="s">
        <v>1374</v>
      </c>
      <c r="K38" s="460">
        <v>17</v>
      </c>
      <c r="L38" s="460">
        <v>13</v>
      </c>
      <c r="M38" s="460">
        <v>38</v>
      </c>
      <c r="N38" s="460">
        <v>54</v>
      </c>
      <c r="O38" s="461">
        <v>61</v>
      </c>
      <c r="P38" s="270">
        <f>MAX(P34:P35)</f>
        <v>112</v>
      </c>
    </row>
    <row r="39" spans="3:16" ht="13">
      <c r="C39" s="633"/>
      <c r="H39" s="627"/>
      <c r="J39" s="474" t="s">
        <v>1375</v>
      </c>
      <c r="K39" s="460">
        <v>70</v>
      </c>
      <c r="L39" s="460">
        <v>54</v>
      </c>
      <c r="M39" s="460">
        <v>80</v>
      </c>
      <c r="N39" s="460">
        <v>9</v>
      </c>
      <c r="O39" s="461">
        <v>97</v>
      </c>
      <c r="P39" s="270"/>
    </row>
    <row r="40" spans="3:16" ht="13">
      <c r="C40" s="633"/>
      <c r="D40" s="444" t="s">
        <v>1451</v>
      </c>
      <c r="E40" s="445"/>
      <c r="F40" s="445"/>
      <c r="G40" s="446" t="s">
        <v>1380</v>
      </c>
      <c r="H40" s="627"/>
      <c r="J40" s="474" t="s">
        <v>1376</v>
      </c>
      <c r="K40" s="460">
        <v>33</v>
      </c>
      <c r="L40" s="460">
        <v>76</v>
      </c>
      <c r="M40" s="460">
        <v>84</v>
      </c>
      <c r="N40" s="460">
        <v>94</v>
      </c>
      <c r="O40" s="461">
        <v>40</v>
      </c>
      <c r="P40" s="270" t="e">
        <f ca="1">ZA()</f>
        <v>#NAME?</v>
      </c>
    </row>
    <row r="41" spans="3:16" ht="13">
      <c r="C41" s="633"/>
      <c r="D41" s="466" t="s">
        <v>1453</v>
      </c>
      <c r="E41" s="467"/>
      <c r="F41" s="467"/>
      <c r="G41" s="468">
        <v>2007</v>
      </c>
      <c r="H41" s="627"/>
      <c r="J41" s="474" t="s">
        <v>1377</v>
      </c>
      <c r="K41" s="460">
        <v>68</v>
      </c>
      <c r="L41" s="460">
        <v>34</v>
      </c>
      <c r="M41" s="460">
        <v>30</v>
      </c>
      <c r="N41" s="460">
        <v>63</v>
      </c>
      <c r="O41" s="461">
        <v>93</v>
      </c>
      <c r="P41" s="270" t="e">
        <f ca="1">CF()</f>
        <v>#NAME?</v>
      </c>
    </row>
    <row r="42" spans="3:16" ht="13">
      <c r="C42" s="633"/>
      <c r="D42" s="466" t="s">
        <v>1452</v>
      </c>
      <c r="E42" s="467"/>
      <c r="F42" s="467"/>
      <c r="G42" s="469" t="s">
        <v>1375</v>
      </c>
      <c r="H42" s="627"/>
      <c r="J42" s="474" t="s">
        <v>1378</v>
      </c>
      <c r="K42" s="460">
        <v>91</v>
      </c>
      <c r="L42" s="460">
        <v>29</v>
      </c>
      <c r="M42" s="460">
        <v>46</v>
      </c>
      <c r="N42" s="460">
        <v>14</v>
      </c>
      <c r="O42" s="461">
        <v>47</v>
      </c>
      <c r="P42" s="270"/>
    </row>
    <row r="43" spans="3:16" ht="13">
      <c r="C43" s="633"/>
      <c r="D43" s="447" t="s">
        <v>1454</v>
      </c>
      <c r="E43" s="448"/>
      <c r="F43" s="448"/>
      <c r="G43" s="449">
        <v>2009</v>
      </c>
      <c r="H43" s="627"/>
      <c r="J43" s="474" t="s">
        <v>1379</v>
      </c>
      <c r="K43" s="460">
        <v>1</v>
      </c>
      <c r="L43" s="460">
        <v>71</v>
      </c>
      <c r="M43" s="460">
        <v>87</v>
      </c>
      <c r="N43" s="460">
        <v>38</v>
      </c>
      <c r="O43" s="461">
        <v>31</v>
      </c>
    </row>
    <row r="44" spans="3:16" ht="13">
      <c r="C44" s="633"/>
      <c r="H44" s="627"/>
      <c r="J44" s="474" t="s">
        <v>1380</v>
      </c>
      <c r="K44" s="460">
        <v>41</v>
      </c>
      <c r="L44" s="460">
        <v>38</v>
      </c>
      <c r="M44" s="460">
        <v>9</v>
      </c>
      <c r="N44" s="460">
        <v>72</v>
      </c>
      <c r="O44" s="461">
        <v>80</v>
      </c>
    </row>
    <row r="45" spans="3:16" ht="13">
      <c r="C45" s="633"/>
      <c r="D45" s="113" t="s">
        <v>1457</v>
      </c>
      <c r="E45" s="113"/>
      <c r="F45" s="113"/>
      <c r="G45" s="113">
        <f t="array" ref="G45">SUMPRODUCT((K35:O46)*((K34:O34-2000)*12+MATCH(J35:J46,$J$35:$J$46,0)-1&gt;=P37)*((K34:O34-2000)*12+MATCH(J35:J46,$J$35:$J$46,0)-1&lt;=P38))</f>
        <v>1058</v>
      </c>
      <c r="H45" s="627"/>
      <c r="J45" s="474" t="s">
        <v>1381</v>
      </c>
      <c r="K45" s="460">
        <v>54</v>
      </c>
      <c r="L45" s="460">
        <v>65</v>
      </c>
      <c r="M45" s="460">
        <v>20</v>
      </c>
      <c r="N45" s="460">
        <v>99</v>
      </c>
      <c r="O45" s="461">
        <v>43</v>
      </c>
    </row>
    <row r="46" spans="3:16" ht="13">
      <c r="C46" s="634"/>
      <c r="D46" s="623"/>
      <c r="E46" s="623"/>
      <c r="F46" s="623"/>
      <c r="G46" s="623"/>
      <c r="H46" s="629"/>
      <c r="J46" s="475" t="s">
        <v>1382</v>
      </c>
      <c r="K46" s="464">
        <v>65</v>
      </c>
      <c r="L46" s="464">
        <v>34</v>
      </c>
      <c r="M46" s="464">
        <v>70</v>
      </c>
      <c r="N46" s="464">
        <v>94</v>
      </c>
      <c r="O46" s="465">
        <v>6</v>
      </c>
    </row>
    <row r="47" spans="3:16"/>
    <row r="48" spans="3:16">
      <c r="C48" s="1454" t="str">
        <f>back_to_index</f>
        <v>Back to contents</v>
      </c>
      <c r="D48" s="1454"/>
      <c r="G48" s="1551" t="str">
        <f>page_prefix &amp; page_Looking_Up &amp; page_suffix</f>
        <v>- Page 10 -</v>
      </c>
      <c r="H48" s="1551"/>
      <c r="I48" s="1551"/>
      <c r="J48" s="1551"/>
      <c r="K48" s="1551"/>
      <c r="L48" s="1551"/>
      <c r="O48" s="1454" t="str">
        <f>back_to_top</f>
        <v>Back to top</v>
      </c>
      <c r="P48" s="1454"/>
    </row>
    <row r="49" spans="7:12">
      <c r="G49" s="1551" t="str">
        <f>copyright</f>
        <v>Copyright (c) 2009 Tykoh Group Pty Limited</v>
      </c>
      <c r="H49" s="1551"/>
      <c r="I49" s="1551"/>
      <c r="J49" s="1551"/>
      <c r="K49" s="1551"/>
      <c r="L49" s="1551"/>
    </row>
    <row r="50" spans="7:12">
      <c r="G50" s="1452" t="str">
        <f>home_address</f>
        <v>www.tykoh.com</v>
      </c>
      <c r="H50" s="1452"/>
      <c r="I50" s="1452"/>
      <c r="J50" s="1452"/>
      <c r="K50" s="1452"/>
      <c r="L50" s="1452"/>
    </row>
    <row r="51" spans="7:12"/>
  </sheetData>
  <sheetProtection algorithmName="SHA-512" hashValue="JQjJkugqFOUiZeY/LgB1XoDusTff9/RrJsQQkUOss1ZAfdMnBcDOP4+voK4edi8A1T0AKVQsSNpTTpszZqB99w==" saltValue="imd+FhIHQetY8JEHu24YqQ==" spinCount="100000" sheet="1" objects="1" scenarios="1"/>
  <mergeCells count="12">
    <mergeCell ref="G49:L49"/>
    <mergeCell ref="C48:D48"/>
    <mergeCell ref="G50:L50"/>
    <mergeCell ref="O48:P48"/>
    <mergeCell ref="G48:L48"/>
    <mergeCell ref="C34:H36"/>
    <mergeCell ref="C18:H20"/>
    <mergeCell ref="N4:P8"/>
    <mergeCell ref="C5:L11"/>
    <mergeCell ref="G2:L2"/>
    <mergeCell ref="C16:P16"/>
    <mergeCell ref="C32:P32"/>
  </mergeCells>
  <phoneticPr fontId="2" type="noConversion"/>
  <conditionalFormatting sqref="K35:O46">
    <cfRule type="expression" dxfId="80" priority="1" stopIfTrue="1">
      <formula>AND(12*(K$34-2000)+MATCH($J35,$J$35:$J$46,0)-1&gt;=$P$37,12*(K$34-2000)+MATCH($J35,$J$35:$J$46,0)-1&lt;=$P$38)</formula>
    </cfRule>
  </conditionalFormatting>
  <conditionalFormatting sqref="K18:O30 J19:J30">
    <cfRule type="expression" dxfId="79" priority="2" stopIfTrue="1">
      <formula>AND(J$18=$G$23,$J18&lt;&gt;$G$22)</formula>
    </cfRule>
    <cfRule type="expression" dxfId="78" priority="3" stopIfTrue="1">
      <formula>AND(J$18=$G$23,$J18=$G$22)</formula>
    </cfRule>
    <cfRule type="expression" dxfId="77" priority="4" stopIfTrue="1">
      <formula>AND($J18=$G$22,J$18&lt;&gt;$G$23)</formula>
    </cfRule>
  </conditionalFormatting>
  <dataValidations count="2">
    <dataValidation type="list" allowBlank="1" showInputMessage="1" showErrorMessage="1" sqref="G41 G23 G43" xr:uid="{00000000-0002-0000-0D00-000000000000}">
      <formula1>$K$18:$O$18</formula1>
    </dataValidation>
    <dataValidation type="list" allowBlank="1" showInputMessage="1" showErrorMessage="1" sqref="G40 G22 G42" xr:uid="{00000000-0002-0000-0D00-000001000000}">
      <formula1>$J$19:$J$30</formula1>
    </dataValidation>
  </dataValidations>
  <hyperlinks>
    <hyperlink ref="O48:P48" location="hh_Looking_Up" display="hh_Looking_Up" xr:uid="{00000000-0004-0000-0D00-000000000000}"/>
    <hyperlink ref="C48:D48" location="hh_index" display="hh_index" xr:uid="{00000000-0004-0000-0D00-000001000000}"/>
    <hyperlink ref="G50:L50" r:id="rId1" display="https://www.tykoh.com/" xr:uid="{00000000-0004-0000-0D00-000002000000}"/>
  </hyperlinks>
  <pageMargins left="0.75" right="0.75" top="1" bottom="1" header="0.5" footer="0.5"/>
  <pageSetup paperSize="9" scale="72" orientation="portrait" r:id="rId2"/>
  <headerFooter alignWithMargins="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pageSetUpPr fitToPage="1"/>
  </sheetPr>
  <dimension ref="A1:N84"/>
  <sheetViews>
    <sheetView showGridLines="0" showRowColHeaders="0" workbookViewId="0"/>
  </sheetViews>
  <sheetFormatPr defaultColWidth="0" defaultRowHeight="12.5" zeroHeight="1"/>
  <cols>
    <col min="1" max="2" width="1" style="144" customWidth="1"/>
    <col min="3" max="3" width="11.81640625" style="144" customWidth="1"/>
    <col min="4" max="4" width="12.1796875" style="144" customWidth="1"/>
    <col min="5" max="7" width="10.453125" style="144" customWidth="1"/>
    <col min="8" max="9" width="10.7265625" style="144" customWidth="1"/>
    <col min="10" max="10" width="10.54296875" style="144" customWidth="1"/>
    <col min="11" max="11" width="10.7265625" style="144" customWidth="1"/>
    <col min="12" max="12" width="10.453125" style="144" customWidth="1"/>
    <col min="13" max="13" width="10.453125" style="34" customWidth="1"/>
    <col min="14" max="14" width="1.81640625" style="34" customWidth="1"/>
    <col min="15" max="16384" width="9.1796875" style="144" hidden="1"/>
  </cols>
  <sheetData>
    <row r="1" spans="3:14">
      <c r="K1" s="34"/>
      <c r="L1" s="34"/>
    </row>
    <row r="2" spans="3:14">
      <c r="C2" s="436"/>
      <c r="D2" s="436"/>
      <c r="E2" s="436"/>
      <c r="F2" s="1494"/>
      <c r="G2" s="1494"/>
      <c r="H2" s="1494"/>
      <c r="I2" s="436"/>
      <c r="J2" s="436"/>
      <c r="K2" s="437"/>
      <c r="L2" s="437"/>
      <c r="M2" s="437"/>
    </row>
    <row r="3" spans="3:14" ht="15.5">
      <c r="C3" s="416" t="s">
        <v>355</v>
      </c>
      <c r="K3" s="34"/>
      <c r="L3" s="34"/>
    </row>
    <row r="4" spans="3:14" ht="3" customHeight="1" thickBot="1">
      <c r="K4" s="1309"/>
      <c r="L4" s="1309"/>
      <c r="M4" s="1309"/>
    </row>
    <row r="5" spans="3:14" ht="13" thickTop="1">
      <c r="C5" s="1492" t="s">
        <v>288</v>
      </c>
      <c r="D5" s="1518"/>
      <c r="E5" s="1518"/>
      <c r="F5" s="1518"/>
      <c r="G5" s="1518"/>
      <c r="H5" s="1518"/>
      <c r="I5" s="1518"/>
      <c r="J5" s="1518"/>
      <c r="K5" s="1521" t="str">
        <f ca="1">OFFSET(ad_first,OFFSET(ads_top,ROW(ads_prioritising)-1,1),0)</f>
        <v>Our courses are presented internationally.</v>
      </c>
      <c r="L5" s="1507"/>
      <c r="M5" s="1508"/>
    </row>
    <row r="6" spans="3:14">
      <c r="C6" s="1518"/>
      <c r="D6" s="1518"/>
      <c r="E6" s="1518"/>
      <c r="F6" s="1518"/>
      <c r="G6" s="1518"/>
      <c r="H6" s="1518"/>
      <c r="I6" s="1518"/>
      <c r="J6" s="1518"/>
      <c r="K6" s="1509"/>
      <c r="L6" s="1510"/>
      <c r="M6" s="1511"/>
    </row>
    <row r="7" spans="3:14">
      <c r="C7" s="1518"/>
      <c r="D7" s="1518"/>
      <c r="E7" s="1518"/>
      <c r="F7" s="1518"/>
      <c r="G7" s="1518"/>
      <c r="H7" s="1518"/>
      <c r="I7" s="1518"/>
      <c r="J7" s="1518"/>
      <c r="K7" s="1509"/>
      <c r="L7" s="1510"/>
      <c r="M7" s="1511"/>
    </row>
    <row r="8" spans="3:14">
      <c r="C8" s="1518"/>
      <c r="D8" s="1518"/>
      <c r="E8" s="1518"/>
      <c r="F8" s="1518"/>
      <c r="G8" s="1518"/>
      <c r="H8" s="1518"/>
      <c r="I8" s="1518"/>
      <c r="J8" s="1518"/>
      <c r="K8" s="1509"/>
      <c r="L8" s="1510"/>
      <c r="M8" s="1511"/>
    </row>
    <row r="9" spans="3:14" ht="13" thickBot="1">
      <c r="C9" s="1518"/>
      <c r="D9" s="1518"/>
      <c r="E9" s="1518"/>
      <c r="F9" s="1518"/>
      <c r="G9" s="1518"/>
      <c r="H9" s="1518"/>
      <c r="I9" s="1518"/>
      <c r="J9" s="1518"/>
      <c r="K9" s="1512"/>
      <c r="L9" s="1513"/>
      <c r="M9" s="1514"/>
    </row>
    <row r="10" spans="3:14" ht="6" customHeight="1" thickTop="1">
      <c r="C10" s="619"/>
      <c r="D10" s="619"/>
      <c r="E10" s="619"/>
      <c r="F10" s="619"/>
      <c r="G10" s="619"/>
      <c r="H10" s="619"/>
      <c r="I10" s="619"/>
      <c r="J10" s="619"/>
      <c r="K10" s="1163"/>
      <c r="L10" s="1164"/>
      <c r="M10" s="1164"/>
    </row>
    <row r="11" spans="3:14">
      <c r="C11" s="1583" t="s">
        <v>287</v>
      </c>
      <c r="D11" s="1518"/>
      <c r="E11" s="1518"/>
      <c r="F11" s="1518"/>
      <c r="G11" s="1518"/>
      <c r="H11" s="1518"/>
      <c r="I11" s="1518"/>
      <c r="J11" s="1518"/>
      <c r="K11" s="1518"/>
      <c r="L11" s="1518"/>
      <c r="M11" s="1518"/>
    </row>
    <row r="12" spans="3:14">
      <c r="C12" s="1583"/>
      <c r="D12" s="1518"/>
      <c r="E12" s="1518"/>
      <c r="F12" s="1518"/>
      <c r="G12" s="1518"/>
      <c r="H12" s="1518"/>
      <c r="I12" s="1518"/>
      <c r="J12" s="1518"/>
      <c r="K12" s="1518"/>
      <c r="L12" s="1518"/>
      <c r="M12" s="1518"/>
    </row>
    <row r="13" spans="3:14">
      <c r="C13" s="1518"/>
      <c r="D13" s="1518"/>
      <c r="E13" s="1518"/>
      <c r="F13" s="1518"/>
      <c r="G13" s="1518"/>
      <c r="H13" s="1518"/>
      <c r="I13" s="1518"/>
      <c r="J13" s="1518"/>
      <c r="K13" s="1518"/>
      <c r="L13" s="1518"/>
      <c r="M13" s="1518"/>
    </row>
    <row r="14" spans="3:14">
      <c r="C14" s="619"/>
      <c r="D14" s="619"/>
      <c r="E14" s="619"/>
      <c r="F14" s="619"/>
      <c r="G14" s="619"/>
      <c r="H14" s="619"/>
      <c r="I14" s="619"/>
      <c r="J14" s="619"/>
      <c r="K14" s="619"/>
      <c r="L14" s="619"/>
      <c r="M14" s="619"/>
    </row>
    <row r="15" spans="3:14" s="141" customFormat="1" ht="13">
      <c r="C15" s="128" t="str">
        <f>functions_used_2</f>
        <v>Spreadsheet functions used in these examples</v>
      </c>
      <c r="D15" s="83"/>
      <c r="E15" s="129"/>
      <c r="F15" s="129"/>
      <c r="G15" s="129"/>
      <c r="H15" s="129"/>
      <c r="I15" s="129"/>
      <c r="J15" s="129"/>
      <c r="K15" s="83"/>
      <c r="L15" s="83"/>
      <c r="M15" s="83"/>
      <c r="N15" s="83"/>
    </row>
    <row r="16" spans="3:14" s="141" customFormat="1">
      <c r="C16" s="83" t="str">
        <f>functions_prioritising</f>
        <v>IF, MIN, OFFSET, ROW, SUM</v>
      </c>
      <c r="D16" s="83"/>
      <c r="E16" s="129"/>
      <c r="F16" s="129"/>
      <c r="G16" s="129"/>
      <c r="H16" s="129"/>
      <c r="I16" s="129"/>
      <c r="J16" s="129"/>
      <c r="K16" s="83"/>
      <c r="L16" s="83"/>
      <c r="M16" s="83"/>
      <c r="N16" s="83"/>
    </row>
    <row r="17" spans="1:14" s="141" customFormat="1">
      <c r="C17" s="83"/>
      <c r="D17" s="83"/>
      <c r="E17" s="129"/>
      <c r="F17" s="129"/>
      <c r="G17" s="129"/>
      <c r="H17" s="129"/>
      <c r="I17" s="129"/>
      <c r="J17" s="129"/>
      <c r="K17" s="83"/>
      <c r="L17" s="83"/>
      <c r="M17" s="83"/>
      <c r="N17" s="83"/>
    </row>
    <row r="18" spans="1:14">
      <c r="A18" s="141"/>
      <c r="B18" s="141"/>
      <c r="C18" s="1582" t="s">
        <v>1507</v>
      </c>
      <c r="D18" s="1582"/>
      <c r="E18" s="1582"/>
      <c r="F18" s="1582"/>
      <c r="G18" s="1582"/>
      <c r="H18" s="1582"/>
      <c r="I18" s="1582"/>
      <c r="J18" s="1582"/>
      <c r="K18" s="1582"/>
      <c r="L18" s="1582"/>
      <c r="M18" s="1167"/>
      <c r="N18" s="83"/>
    </row>
    <row r="19" spans="1:14" ht="7.5" customHeight="1">
      <c r="A19" s="141"/>
      <c r="B19" s="141"/>
      <c r="N19" s="83"/>
    </row>
    <row r="20" spans="1:14">
      <c r="A20" s="141"/>
      <c r="B20" s="141"/>
      <c r="E20" s="1579" t="s">
        <v>1499</v>
      </c>
      <c r="F20" s="1580"/>
      <c r="G20" s="1580"/>
      <c r="H20" s="1580"/>
      <c r="I20" s="1580"/>
      <c r="J20" s="1580"/>
      <c r="K20" s="1580"/>
      <c r="L20" s="1581"/>
      <c r="M20" s="1166"/>
      <c r="N20" s="83"/>
    </row>
    <row r="21" spans="1:14">
      <c r="A21" s="141"/>
      <c r="B21" s="141"/>
      <c r="E21" s="438">
        <v>400</v>
      </c>
      <c r="F21" s="438">
        <v>320</v>
      </c>
      <c r="G21" s="438">
        <v>160</v>
      </c>
      <c r="H21" s="438">
        <v>240</v>
      </c>
      <c r="I21" s="438">
        <v>320</v>
      </c>
      <c r="J21" s="438">
        <v>400</v>
      </c>
      <c r="K21" s="438">
        <v>140</v>
      </c>
      <c r="L21" s="438">
        <v>260</v>
      </c>
      <c r="M21" s="1168"/>
      <c r="N21" s="83"/>
    </row>
    <row r="22" spans="1:14" ht="7.5" customHeight="1">
      <c r="A22" s="83"/>
      <c r="B22" s="83"/>
      <c r="C22" s="83"/>
      <c r="D22" s="83"/>
      <c r="E22" s="83"/>
      <c r="F22" s="83"/>
      <c r="G22" s="83"/>
      <c r="H22" s="83"/>
      <c r="I22" s="83"/>
      <c r="J22" s="83"/>
      <c r="K22" s="83"/>
      <c r="L22" s="83"/>
      <c r="M22" s="83"/>
      <c r="N22" s="83"/>
    </row>
    <row r="23" spans="1:14">
      <c r="A23" s="141"/>
      <c r="B23" s="141"/>
      <c r="C23" s="142" t="s">
        <v>1498</v>
      </c>
      <c r="D23" s="143" t="s">
        <v>1508</v>
      </c>
      <c r="E23" s="1576" t="s">
        <v>1500</v>
      </c>
      <c r="F23" s="1577"/>
      <c r="G23" s="1577"/>
      <c r="H23" s="1577"/>
      <c r="I23" s="1577"/>
      <c r="J23" s="1577"/>
      <c r="K23" s="1577"/>
      <c r="L23" s="1578"/>
      <c r="M23" s="1166"/>
      <c r="N23" s="83"/>
    </row>
    <row r="24" spans="1:14" ht="12.75" customHeight="1">
      <c r="A24" s="141"/>
      <c r="B24" s="141"/>
      <c r="C24" s="145" t="s">
        <v>1363</v>
      </c>
      <c r="D24" s="146">
        <v>120</v>
      </c>
      <c r="E24" s="147">
        <f t="shared" ref="E24:L24" si="0">MIN(E21,$D24)</f>
        <v>120</v>
      </c>
      <c r="F24" s="147">
        <f t="shared" si="0"/>
        <v>120</v>
      </c>
      <c r="G24" s="147">
        <f t="shared" si="0"/>
        <v>120</v>
      </c>
      <c r="H24" s="147">
        <f t="shared" si="0"/>
        <v>120</v>
      </c>
      <c r="I24" s="147">
        <f t="shared" si="0"/>
        <v>120</v>
      </c>
      <c r="J24" s="147">
        <f t="shared" si="0"/>
        <v>120</v>
      </c>
      <c r="K24" s="147">
        <f t="shared" si="0"/>
        <v>120</v>
      </c>
      <c r="L24" s="148">
        <f t="shared" si="0"/>
        <v>120</v>
      </c>
      <c r="M24" s="83"/>
      <c r="N24" s="83"/>
    </row>
    <row r="25" spans="1:14">
      <c r="A25" s="141"/>
      <c r="B25" s="141"/>
      <c r="C25" s="145" t="s">
        <v>1364</v>
      </c>
      <c r="D25" s="146">
        <v>100</v>
      </c>
      <c r="E25" s="145">
        <f>MIN(E$21-SUM(E$24:E24),$D25)</f>
        <v>100</v>
      </c>
      <c r="F25" s="145">
        <f>MIN(F$21-SUM(F$24:F24),$D25)</f>
        <v>100</v>
      </c>
      <c r="G25" s="145">
        <f>MIN(G$21-SUM(G$24:G24),$D25)</f>
        <v>40</v>
      </c>
      <c r="H25" s="145">
        <f>MIN(H$21-SUM(H$24:H24),$D25)</f>
        <v>100</v>
      </c>
      <c r="I25" s="145">
        <f>MIN(I$21-SUM(I$24:I24),$D25)</f>
        <v>100</v>
      </c>
      <c r="J25" s="145">
        <f>MIN(J$21-SUM(J$24:J24),$D25)</f>
        <v>100</v>
      </c>
      <c r="K25" s="145">
        <f>MIN(K$21-SUM(K$24:K24),$D25)</f>
        <v>20</v>
      </c>
      <c r="L25" s="149">
        <f>MIN(L$21-SUM(L$24:L24),$D25)</f>
        <v>100</v>
      </c>
      <c r="M25" s="83"/>
      <c r="N25" s="83"/>
    </row>
    <row r="26" spans="1:14">
      <c r="A26" s="141"/>
      <c r="B26" s="141"/>
      <c r="C26" s="145" t="s">
        <v>1473</v>
      </c>
      <c r="D26" s="146">
        <v>80</v>
      </c>
      <c r="E26" s="145">
        <f>MIN(E$21-SUM(E$24:E25),$D26)</f>
        <v>80</v>
      </c>
      <c r="F26" s="145">
        <f>MIN(F$21-SUM(F$24:F25),$D26)</f>
        <v>80</v>
      </c>
      <c r="G26" s="145">
        <f>MIN(G$21-SUM(G$24:G25),$D26)</f>
        <v>0</v>
      </c>
      <c r="H26" s="145">
        <f>MIN(H$21-SUM(H$24:H25),$D26)</f>
        <v>20</v>
      </c>
      <c r="I26" s="145">
        <f>MIN(I$21-SUM(I$24:I25),$D26)</f>
        <v>80</v>
      </c>
      <c r="J26" s="145">
        <f>MIN(J$21-SUM(J$24:J25),$D26)</f>
        <v>80</v>
      </c>
      <c r="K26" s="145">
        <f>MIN(K$21-SUM(K$24:K25),$D26)</f>
        <v>0</v>
      </c>
      <c r="L26" s="149">
        <f>MIN(L$21-SUM(L$24:L25),$D26)</f>
        <v>40</v>
      </c>
      <c r="M26" s="83"/>
      <c r="N26" s="83"/>
    </row>
    <row r="27" spans="1:14">
      <c r="A27" s="141"/>
      <c r="B27" s="141"/>
      <c r="C27" s="145" t="s">
        <v>1474</v>
      </c>
      <c r="D27" s="146">
        <v>60</v>
      </c>
      <c r="E27" s="145">
        <f>MIN(E$21-SUM(E$24:E26),$D27)</f>
        <v>60</v>
      </c>
      <c r="F27" s="145">
        <f>MIN(F$21-SUM(F$24:F26),$D27)</f>
        <v>20</v>
      </c>
      <c r="G27" s="145">
        <f>MIN(G$21-SUM(G$24:G26),$D27)</f>
        <v>0</v>
      </c>
      <c r="H27" s="145">
        <f>MIN(H$21-SUM(H$24:H26),$D27)</f>
        <v>0</v>
      </c>
      <c r="I27" s="145">
        <f>MIN(I$21-SUM(I$24:I26),$D27)</f>
        <v>20</v>
      </c>
      <c r="J27" s="145">
        <f>MIN(J$21-SUM(J$24:J26),$D27)</f>
        <v>60</v>
      </c>
      <c r="K27" s="145">
        <f>MIN(K$21-SUM(K$24:K26),$D27)</f>
        <v>0</v>
      </c>
      <c r="L27" s="149">
        <f>MIN(L$21-SUM(L$24:L26),$D27)</f>
        <v>0</v>
      </c>
      <c r="M27" s="83"/>
      <c r="N27" s="83"/>
    </row>
    <row r="28" spans="1:14">
      <c r="A28" s="141"/>
      <c r="B28" s="141"/>
      <c r="C28" s="150" t="s">
        <v>1475</v>
      </c>
      <c r="D28" s="151">
        <v>40</v>
      </c>
      <c r="E28" s="150">
        <f>MIN(E$21-SUM(E$24:E27),$D28)</f>
        <v>40</v>
      </c>
      <c r="F28" s="150">
        <f>MIN(F$21-SUM(F$24:F27),$D28)</f>
        <v>0</v>
      </c>
      <c r="G28" s="150">
        <f>MIN(G$21-SUM(G$24:G27),$D28)</f>
        <v>0</v>
      </c>
      <c r="H28" s="150">
        <f>MIN(H$21-SUM(H$24:H27),$D28)</f>
        <v>0</v>
      </c>
      <c r="I28" s="150">
        <f>MIN(I$21-SUM(I$24:I27),$D28)</f>
        <v>0</v>
      </c>
      <c r="J28" s="150">
        <f>MIN(J$21-SUM(J$24:J27),$D28)</f>
        <v>40</v>
      </c>
      <c r="K28" s="150">
        <f>MIN(K$21-SUM(K$24:K27),$D28)</f>
        <v>0</v>
      </c>
      <c r="L28" s="152">
        <f>MIN(L$21-SUM(L$24:L27),$D28)</f>
        <v>0</v>
      </c>
      <c r="M28" s="83"/>
      <c r="N28" s="83"/>
    </row>
    <row r="29" spans="1:14">
      <c r="A29" s="141"/>
      <c r="B29" s="141"/>
      <c r="C29" s="141"/>
      <c r="D29" s="141"/>
      <c r="E29" s="141"/>
      <c r="F29" s="141"/>
    </row>
    <row r="30" spans="1:14">
      <c r="A30" s="141"/>
      <c r="B30" s="141"/>
      <c r="C30" s="141"/>
      <c r="D30" s="141"/>
      <c r="E30" s="141"/>
      <c r="F30" s="141"/>
    </row>
    <row r="31" spans="1:14">
      <c r="A31" s="141"/>
      <c r="B31" s="141"/>
      <c r="C31" s="141"/>
      <c r="D31" s="141"/>
      <c r="E31" s="141"/>
      <c r="F31" s="141"/>
    </row>
    <row r="32" spans="1:14">
      <c r="A32" s="141"/>
      <c r="B32" s="141"/>
      <c r="C32" s="141"/>
      <c r="D32" s="141"/>
      <c r="E32" s="141"/>
      <c r="F32" s="141"/>
    </row>
    <row r="33" spans="1:6">
      <c r="A33" s="141"/>
      <c r="B33" s="141"/>
      <c r="C33" s="141"/>
      <c r="D33" s="141"/>
      <c r="E33" s="141"/>
      <c r="F33" s="141"/>
    </row>
    <row r="34" spans="1:6">
      <c r="A34" s="141"/>
      <c r="B34" s="141"/>
      <c r="C34" s="141"/>
      <c r="D34" s="141"/>
      <c r="E34" s="141"/>
      <c r="F34" s="141"/>
    </row>
    <row r="35" spans="1:6">
      <c r="A35" s="141"/>
      <c r="B35" s="141"/>
      <c r="C35" s="141"/>
      <c r="D35" s="141"/>
      <c r="E35" s="141"/>
      <c r="F35" s="141"/>
    </row>
    <row r="36" spans="1:6">
      <c r="A36" s="141"/>
      <c r="B36" s="141"/>
      <c r="C36" s="141"/>
      <c r="D36" s="141"/>
      <c r="E36" s="141"/>
      <c r="F36" s="141"/>
    </row>
    <row r="37" spans="1:6">
      <c r="A37" s="141"/>
      <c r="B37" s="141"/>
      <c r="C37" s="141"/>
      <c r="D37" s="141"/>
      <c r="E37" s="141"/>
      <c r="F37" s="141"/>
    </row>
    <row r="38" spans="1:6">
      <c r="A38" s="141"/>
      <c r="B38" s="141"/>
    </row>
    <row r="39" spans="1:6">
      <c r="A39" s="141"/>
      <c r="B39" s="141"/>
    </row>
    <row r="40" spans="1:6">
      <c r="A40" s="141"/>
      <c r="B40" s="141"/>
    </row>
    <row r="41" spans="1:6">
      <c r="A41" s="141"/>
      <c r="B41" s="141"/>
    </row>
    <row r="42" spans="1:6">
      <c r="A42" s="141"/>
      <c r="B42" s="141"/>
    </row>
    <row r="43" spans="1:6"/>
    <row r="44" spans="1:6"/>
    <row r="45" spans="1:6"/>
    <row r="46" spans="1:6"/>
    <row r="47" spans="1:6"/>
    <row r="48" spans="1:6"/>
    <row r="49" spans="1:14">
      <c r="C49" s="141"/>
      <c r="D49" s="141"/>
      <c r="E49" s="141"/>
    </row>
    <row r="50" spans="1:14">
      <c r="C50" s="1582" t="s">
        <v>1509</v>
      </c>
      <c r="D50" s="1582"/>
      <c r="E50" s="1582"/>
      <c r="F50" s="1582"/>
      <c r="G50" s="1582"/>
      <c r="H50" s="1582"/>
      <c r="I50" s="1582"/>
      <c r="J50" s="1582"/>
      <c r="K50" s="1582"/>
      <c r="L50" s="1582"/>
      <c r="M50" s="1167"/>
    </row>
    <row r="51" spans="1:14">
      <c r="C51" s="141"/>
      <c r="D51" s="141"/>
      <c r="E51" s="141"/>
    </row>
    <row r="52" spans="1:14">
      <c r="C52" s="141"/>
      <c r="D52" s="141"/>
      <c r="E52" s="1579" t="s">
        <v>1499</v>
      </c>
      <c r="F52" s="1580"/>
      <c r="G52" s="1580"/>
      <c r="H52" s="1580"/>
      <c r="I52" s="1580"/>
      <c r="J52" s="1580"/>
      <c r="K52" s="1580"/>
      <c r="L52" s="1581"/>
      <c r="M52" s="1166"/>
    </row>
    <row r="53" spans="1:14">
      <c r="C53" s="141"/>
      <c r="D53" s="141"/>
      <c r="E53" s="439">
        <v>0</v>
      </c>
      <c r="F53" s="440">
        <v>40</v>
      </c>
      <c r="G53" s="440">
        <v>150</v>
      </c>
      <c r="H53" s="440">
        <v>380</v>
      </c>
      <c r="I53" s="440">
        <v>120</v>
      </c>
      <c r="J53" s="440">
        <v>300</v>
      </c>
      <c r="K53" s="440">
        <v>350</v>
      </c>
      <c r="L53" s="441">
        <v>400</v>
      </c>
      <c r="M53" s="1168"/>
    </row>
    <row r="54" spans="1:14" ht="6" customHeight="1">
      <c r="A54" s="141"/>
      <c r="B54" s="141"/>
      <c r="C54" s="141"/>
      <c r="D54" s="141"/>
      <c r="E54" s="141"/>
    </row>
    <row r="55" spans="1:14" ht="12.75" customHeight="1">
      <c r="A55" s="141"/>
      <c r="B55" s="141"/>
      <c r="C55" s="142" t="s">
        <v>1498</v>
      </c>
      <c r="D55" s="143" t="s">
        <v>1508</v>
      </c>
      <c r="E55" s="1576" t="s">
        <v>1500</v>
      </c>
      <c r="F55" s="1577"/>
      <c r="G55" s="1577"/>
      <c r="H55" s="1577"/>
      <c r="I55" s="1577"/>
      <c r="J55" s="1577"/>
      <c r="K55" s="1577"/>
      <c r="L55" s="1578"/>
      <c r="M55" s="1166"/>
      <c r="N55" s="83"/>
    </row>
    <row r="56" spans="1:14">
      <c r="A56" s="141"/>
      <c r="B56" s="141"/>
      <c r="C56" s="145" t="s">
        <v>1363</v>
      </c>
      <c r="D56" s="153">
        <f>D24/SUM($D$24:$D$28)</f>
        <v>0.3</v>
      </c>
      <c r="E56" s="154">
        <f t="shared" ref="E56:L60" si="1">E$53*$D56</f>
        <v>0</v>
      </c>
      <c r="F56" s="155">
        <f t="shared" si="1"/>
        <v>12</v>
      </c>
      <c r="G56" s="155">
        <f t="shared" si="1"/>
        <v>45</v>
      </c>
      <c r="H56" s="155">
        <f t="shared" si="1"/>
        <v>114</v>
      </c>
      <c r="I56" s="155">
        <f t="shared" si="1"/>
        <v>36</v>
      </c>
      <c r="J56" s="155">
        <f t="shared" si="1"/>
        <v>90</v>
      </c>
      <c r="K56" s="155">
        <f t="shared" si="1"/>
        <v>105</v>
      </c>
      <c r="L56" s="156">
        <f t="shared" si="1"/>
        <v>120</v>
      </c>
      <c r="M56" s="83"/>
      <c r="N56" s="83"/>
    </row>
    <row r="57" spans="1:14">
      <c r="A57" s="141"/>
      <c r="B57" s="141"/>
      <c r="C57" s="145" t="s">
        <v>1364</v>
      </c>
      <c r="D57" s="153">
        <f>D25/SUM($D$24:$D$28)</f>
        <v>0.25</v>
      </c>
      <c r="E57" s="157">
        <f t="shared" si="1"/>
        <v>0</v>
      </c>
      <c r="F57" s="158">
        <f t="shared" si="1"/>
        <v>10</v>
      </c>
      <c r="G57" s="158">
        <f t="shared" si="1"/>
        <v>37.5</v>
      </c>
      <c r="H57" s="158">
        <f t="shared" si="1"/>
        <v>95</v>
      </c>
      <c r="I57" s="158">
        <f t="shared" si="1"/>
        <v>30</v>
      </c>
      <c r="J57" s="158">
        <f t="shared" si="1"/>
        <v>75</v>
      </c>
      <c r="K57" s="158">
        <f t="shared" si="1"/>
        <v>87.5</v>
      </c>
      <c r="L57" s="159">
        <f t="shared" si="1"/>
        <v>100</v>
      </c>
      <c r="M57" s="83"/>
      <c r="N57" s="83"/>
    </row>
    <row r="58" spans="1:14">
      <c r="A58" s="141"/>
      <c r="B58" s="141"/>
      <c r="C58" s="145" t="s">
        <v>1473</v>
      </c>
      <c r="D58" s="153">
        <f>D26/SUM($D$24:$D$28)</f>
        <v>0.2</v>
      </c>
      <c r="E58" s="160">
        <f t="shared" si="1"/>
        <v>0</v>
      </c>
      <c r="F58" s="161">
        <f t="shared" si="1"/>
        <v>8</v>
      </c>
      <c r="G58" s="161">
        <f t="shared" si="1"/>
        <v>30</v>
      </c>
      <c r="H58" s="161">
        <f t="shared" si="1"/>
        <v>76</v>
      </c>
      <c r="I58" s="161">
        <f t="shared" si="1"/>
        <v>24</v>
      </c>
      <c r="J58" s="161">
        <f t="shared" si="1"/>
        <v>60</v>
      </c>
      <c r="K58" s="161">
        <f t="shared" si="1"/>
        <v>70</v>
      </c>
      <c r="L58" s="162">
        <f t="shared" si="1"/>
        <v>80</v>
      </c>
      <c r="M58" s="270"/>
      <c r="N58" s="83"/>
    </row>
    <row r="59" spans="1:14">
      <c r="A59" s="141"/>
      <c r="B59" s="141"/>
      <c r="C59" s="145" t="s">
        <v>1474</v>
      </c>
      <c r="D59" s="153">
        <f>D27/SUM($D$24:$D$28)</f>
        <v>0.15</v>
      </c>
      <c r="E59" s="767">
        <f t="shared" si="1"/>
        <v>0</v>
      </c>
      <c r="F59" s="768">
        <f t="shared" si="1"/>
        <v>6</v>
      </c>
      <c r="G59" s="768">
        <f t="shared" si="1"/>
        <v>22.5</v>
      </c>
      <c r="H59" s="768">
        <f t="shared" si="1"/>
        <v>57</v>
      </c>
      <c r="I59" s="768">
        <f t="shared" si="1"/>
        <v>18</v>
      </c>
      <c r="J59" s="768">
        <f t="shared" si="1"/>
        <v>45</v>
      </c>
      <c r="K59" s="768">
        <f t="shared" si="1"/>
        <v>52.5</v>
      </c>
      <c r="L59" s="769">
        <f t="shared" si="1"/>
        <v>60</v>
      </c>
      <c r="M59" s="270"/>
      <c r="N59" s="83"/>
    </row>
    <row r="60" spans="1:14">
      <c r="A60" s="141"/>
      <c r="B60" s="141"/>
      <c r="C60" s="150" t="s">
        <v>1475</v>
      </c>
      <c r="D60" s="163">
        <f>D28/SUM($D$24:$D$28)</f>
        <v>0.1</v>
      </c>
      <c r="E60" s="164">
        <f t="shared" si="1"/>
        <v>0</v>
      </c>
      <c r="F60" s="165">
        <f t="shared" si="1"/>
        <v>4</v>
      </c>
      <c r="G60" s="165">
        <f t="shared" si="1"/>
        <v>15</v>
      </c>
      <c r="H60" s="165">
        <f t="shared" si="1"/>
        <v>38</v>
      </c>
      <c r="I60" s="165">
        <f t="shared" si="1"/>
        <v>12</v>
      </c>
      <c r="J60" s="165">
        <f t="shared" si="1"/>
        <v>30</v>
      </c>
      <c r="K60" s="165">
        <f t="shared" si="1"/>
        <v>35</v>
      </c>
      <c r="L60" s="166">
        <f t="shared" si="1"/>
        <v>40</v>
      </c>
      <c r="M60" s="270"/>
      <c r="N60" s="83"/>
    </row>
    <row r="61" spans="1:14">
      <c r="A61" s="141"/>
      <c r="B61" s="141"/>
      <c r="C61" s="141"/>
      <c r="D61" s="141"/>
      <c r="E61" s="141"/>
    </row>
    <row r="62" spans="1:14" ht="13.5" customHeight="1">
      <c r="A62" s="141"/>
      <c r="B62" s="141"/>
    </row>
    <row r="63" spans="1:14" ht="13.5" customHeight="1"/>
    <row r="64" spans="1:1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row r="81" spans="3:13">
      <c r="C81" s="1454" t="str">
        <f>back_to_index</f>
        <v>Back to contents</v>
      </c>
      <c r="D81" s="1454"/>
      <c r="F81" s="1530" t="str">
        <f>page_prefix &amp; page_Prioritising &amp; page_suffix</f>
        <v>- Page 11 -</v>
      </c>
      <c r="G81" s="1530"/>
      <c r="H81" s="1530"/>
      <c r="K81" s="1485" t="str">
        <f>back_to_top</f>
        <v>Back to top</v>
      </c>
      <c r="L81" s="1485"/>
      <c r="M81" s="1169"/>
    </row>
    <row r="82" spans="3:13">
      <c r="C82" s="140"/>
      <c r="D82" s="140"/>
      <c r="F82" s="1530" t="str">
        <f>copyright</f>
        <v>Copyright (c) 2009 Tykoh Group Pty Limited</v>
      </c>
      <c r="G82" s="1530"/>
      <c r="H82" s="1530"/>
      <c r="K82" s="442"/>
      <c r="L82" s="343"/>
      <c r="M82" s="1170"/>
    </row>
    <row r="83" spans="3:13">
      <c r="F83" s="1452" t="str">
        <f>home_address</f>
        <v>www.tykoh.com</v>
      </c>
      <c r="G83" s="1452"/>
      <c r="H83" s="1452"/>
    </row>
    <row r="84" spans="3:13"/>
  </sheetData>
  <sheetProtection algorithmName="SHA-512" hashValue="B5EWVOBxkOGuno78l8Y72rfODcb6vmcfXTe1StxpTDnJk3b8giw0NeXoB3+EfRqQIXShEwY1bUwy3rGhWQIHag==" saltValue="mkptG9NK8PBwBBA740kNJA==" spinCount="100000" sheet="1" objects="1" scenarios="1"/>
  <mergeCells count="15">
    <mergeCell ref="C5:J9"/>
    <mergeCell ref="C11:M13"/>
    <mergeCell ref="C18:L18"/>
    <mergeCell ref="K5:M9"/>
    <mergeCell ref="F2:H2"/>
    <mergeCell ref="F83:H83"/>
    <mergeCell ref="E23:L23"/>
    <mergeCell ref="E20:L20"/>
    <mergeCell ref="E55:L55"/>
    <mergeCell ref="C50:L50"/>
    <mergeCell ref="E52:L52"/>
    <mergeCell ref="F82:H82"/>
    <mergeCell ref="C81:D81"/>
    <mergeCell ref="K81:L81"/>
    <mergeCell ref="F81:H81"/>
  </mergeCells>
  <phoneticPr fontId="2" type="noConversion"/>
  <conditionalFormatting sqref="N24">
    <cfRule type="cellIs" dxfId="76" priority="1" stopIfTrue="1" operator="greaterThan">
      <formula>0</formula>
    </cfRule>
  </conditionalFormatting>
  <conditionalFormatting sqref="N25">
    <cfRule type="cellIs" dxfId="75" priority="2" stopIfTrue="1" operator="greaterThan">
      <formula>0</formula>
    </cfRule>
  </conditionalFormatting>
  <conditionalFormatting sqref="N26">
    <cfRule type="cellIs" dxfId="74" priority="3" stopIfTrue="1" operator="greaterThan">
      <formula>0</formula>
    </cfRule>
  </conditionalFormatting>
  <conditionalFormatting sqref="N27">
    <cfRule type="cellIs" dxfId="73" priority="4" stopIfTrue="1" operator="greaterThan">
      <formula>0</formula>
    </cfRule>
  </conditionalFormatting>
  <conditionalFormatting sqref="N28">
    <cfRule type="cellIs" dxfId="72" priority="5" stopIfTrue="1" operator="greaterThan">
      <formula>0</formula>
    </cfRule>
  </conditionalFormatting>
  <conditionalFormatting sqref="E25:M25">
    <cfRule type="cellIs" dxfId="71" priority="6" stopIfTrue="1" operator="greaterThan">
      <formula>0</formula>
    </cfRule>
  </conditionalFormatting>
  <conditionalFormatting sqref="E26:M26">
    <cfRule type="cellIs" dxfId="70" priority="7" stopIfTrue="1" operator="greaterThan">
      <formula>0</formula>
    </cfRule>
  </conditionalFormatting>
  <conditionalFormatting sqref="E27:M27">
    <cfRule type="cellIs" dxfId="69" priority="8" stopIfTrue="1" operator="greaterThan">
      <formula>0</formula>
    </cfRule>
  </conditionalFormatting>
  <conditionalFormatting sqref="E28:M28">
    <cfRule type="cellIs" dxfId="68" priority="9" stopIfTrue="1" operator="greaterThan">
      <formula>0</formula>
    </cfRule>
  </conditionalFormatting>
  <conditionalFormatting sqref="E24:M24">
    <cfRule type="cellIs" dxfId="67" priority="10" stopIfTrue="1" operator="greaterThan">
      <formula>0</formula>
    </cfRule>
  </conditionalFormatting>
  <dataValidations count="2">
    <dataValidation allowBlank="1" showInputMessage="1" showErrorMessage="1" error="Funds available has to be between 0 and 400" sqref="E55:M55 E20:M20 A22:N22 E23:M23 E52:M52" xr:uid="{00000000-0002-0000-0E00-000000000000}"/>
    <dataValidation type="list" allowBlank="1" showInputMessage="1" showErrorMessage="1" error="Funds available has to be between 0 and 400" sqref="E53:M53 E21:M21" xr:uid="{00000000-0002-0000-0E00-000001000000}">
      <formula1>"0,40,80,120,160,200,240,280,320,360,400"</formula1>
    </dataValidation>
  </dataValidations>
  <hyperlinks>
    <hyperlink ref="K81" location="hh_allocating" display="hh_allocating" xr:uid="{00000000-0004-0000-0E00-000000000000}"/>
    <hyperlink ref="K81:L81" location="hh_prioritising" display="hh_prioritising" xr:uid="{00000000-0004-0000-0E00-000001000000}"/>
    <hyperlink ref="C81:D81" location="hh_index" display="hh_index" xr:uid="{00000000-0004-0000-0E00-000002000000}"/>
    <hyperlink ref="F83:H83" r:id="rId1" display="https://www.tykoh.com/" xr:uid="{00000000-0004-0000-0E00-000003000000}"/>
  </hyperlinks>
  <pageMargins left="0.75" right="0.75" top="1" bottom="1" header="0.5" footer="0.5"/>
  <pageSetup scale="61" orientation="portrait"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4"/>
  <dimension ref="B1:N24"/>
  <sheetViews>
    <sheetView workbookViewId="0">
      <selection activeCell="B2" sqref="B2"/>
    </sheetView>
  </sheetViews>
  <sheetFormatPr defaultRowHeight="12.5"/>
  <cols>
    <col min="1" max="2" width="1" customWidth="1"/>
  </cols>
  <sheetData>
    <row r="1" spans="2:14">
      <c r="B1" t="s">
        <v>145</v>
      </c>
      <c r="I1" t="s">
        <v>144</v>
      </c>
    </row>
    <row r="2" spans="2:14">
      <c r="B2" s="141"/>
      <c r="C2" s="778" t="s">
        <v>1363</v>
      </c>
      <c r="D2" s="778"/>
      <c r="E2" s="778"/>
      <c r="F2" s="779"/>
      <c r="G2" s="779" t="s">
        <v>1475</v>
      </c>
      <c r="I2" s="141"/>
      <c r="J2" s="778" t="s">
        <v>1363</v>
      </c>
      <c r="K2" s="778"/>
      <c r="L2" s="779"/>
      <c r="M2" s="779"/>
      <c r="N2" s="779" t="s">
        <v>1475</v>
      </c>
    </row>
    <row r="3" spans="2:14">
      <c r="B3" s="144"/>
      <c r="C3" s="144">
        <f>Prioritising!E24</f>
        <v>120</v>
      </c>
      <c r="D3" s="144">
        <f>Prioritising!E25</f>
        <v>100</v>
      </c>
      <c r="E3" s="144">
        <f>Prioritising!E26</f>
        <v>80</v>
      </c>
      <c r="F3" s="144">
        <f>Prioritising!E27</f>
        <v>60</v>
      </c>
      <c r="G3" s="144">
        <f>Prioritising!E28</f>
        <v>40</v>
      </c>
      <c r="I3" s="144"/>
      <c r="J3" s="780">
        <f>Prioritising!D56</f>
        <v>0.3</v>
      </c>
      <c r="K3" s="780">
        <f>Prioritising!D57</f>
        <v>0.25</v>
      </c>
      <c r="L3" s="780">
        <f>Prioritising!D58</f>
        <v>0.2</v>
      </c>
      <c r="M3" s="780">
        <f>Prioritising!D59</f>
        <v>0.15</v>
      </c>
      <c r="N3" s="780">
        <f>Prioritising!D60</f>
        <v>0.1</v>
      </c>
    </row>
    <row r="4" spans="2:14">
      <c r="B4" s="144">
        <v>0</v>
      </c>
      <c r="C4" s="144">
        <f t="shared" ref="C4:C24" si="0">MIN(B4,C$3)</f>
        <v>0</v>
      </c>
      <c r="D4" s="144">
        <f>IF($B4&gt;SUM($C$3:C$3),MIN(D$3,$B4-SUM($C$3:C$3)),0)</f>
        <v>0</v>
      </c>
      <c r="E4" s="144">
        <f>IF($B4&gt;SUM($C$3:D$3),MIN(E$3,$B4-SUM($C$3:D$3)),0)</f>
        <v>0</v>
      </c>
      <c r="F4" s="144">
        <f>IF($B4&gt;SUM($C$3:E$3),MIN(F$3,$B4-SUM($C$3:E$3)),0)</f>
        <v>0</v>
      </c>
      <c r="G4" s="144">
        <f>IF($B4&gt;SUM($C$3:F$3),MIN(G$3,$B4-SUM($C$3:F$3)),0)</f>
        <v>0</v>
      </c>
      <c r="I4" s="144">
        <f>Prioritising_calcs!B4</f>
        <v>0</v>
      </c>
      <c r="J4" s="144">
        <f t="shared" ref="J4:N13" si="1">$I4*J$3</f>
        <v>0</v>
      </c>
      <c r="K4" s="144">
        <f t="shared" si="1"/>
        <v>0</v>
      </c>
      <c r="L4" s="144">
        <f t="shared" si="1"/>
        <v>0</v>
      </c>
      <c r="M4" s="144">
        <f t="shared" si="1"/>
        <v>0</v>
      </c>
      <c r="N4" s="144">
        <f t="shared" si="1"/>
        <v>0</v>
      </c>
    </row>
    <row r="5" spans="2:14">
      <c r="B5" s="144">
        <f t="shared" ref="B5:B24" si="2">B4+20</f>
        <v>20</v>
      </c>
      <c r="C5" s="144">
        <f t="shared" si="0"/>
        <v>20</v>
      </c>
      <c r="D5" s="144">
        <f>IF($B5&gt;SUM($C$3:C$3),MIN(D$3,$B5-SUM($C$3:C$3)),0)</f>
        <v>0</v>
      </c>
      <c r="E5" s="144">
        <f>IF($B5&gt;SUM($C$3:D$3),MIN(E$3,$B5-SUM($C$3:D$3)),0)</f>
        <v>0</v>
      </c>
      <c r="F5" s="144">
        <f>IF($B5&gt;SUM($C$3:E$3),MIN(F$3,$B5-SUM($C$3:E$3)),0)</f>
        <v>0</v>
      </c>
      <c r="G5" s="144">
        <f>IF($B5&gt;SUM($C$3:F$3),MIN(G$3,$B5-SUM($C$3:F$3)),0)</f>
        <v>0</v>
      </c>
      <c r="I5" s="144">
        <f>Prioritising_calcs!B5</f>
        <v>20</v>
      </c>
      <c r="J5" s="144">
        <f t="shared" si="1"/>
        <v>6</v>
      </c>
      <c r="K5" s="144">
        <f t="shared" si="1"/>
        <v>5</v>
      </c>
      <c r="L5" s="144">
        <f t="shared" si="1"/>
        <v>4</v>
      </c>
      <c r="M5" s="144">
        <f t="shared" si="1"/>
        <v>3</v>
      </c>
      <c r="N5" s="144">
        <f t="shared" si="1"/>
        <v>2</v>
      </c>
    </row>
    <row r="6" spans="2:14">
      <c r="B6" s="144">
        <f t="shared" si="2"/>
        <v>40</v>
      </c>
      <c r="C6" s="144">
        <f t="shared" si="0"/>
        <v>40</v>
      </c>
      <c r="D6" s="144">
        <f>IF($B6&gt;SUM($C$3:C$3),MIN(D$3,$B6-SUM($C$3:C$3)),0)</f>
        <v>0</v>
      </c>
      <c r="E6" s="144">
        <f>IF($B6&gt;SUM($C$3:D$3),MIN(E$3,$B6-SUM($C$3:D$3)),0)</f>
        <v>0</v>
      </c>
      <c r="F6" s="144">
        <f>IF($B6&gt;SUM($C$3:E$3),MIN(F$3,$B6-SUM($C$3:E$3)),0)</f>
        <v>0</v>
      </c>
      <c r="G6" s="144">
        <f>IF($B6&gt;SUM($C$3:F$3),MIN(G$3,$B6-SUM($C$3:F$3)),0)</f>
        <v>0</v>
      </c>
      <c r="I6" s="144">
        <f>Prioritising_calcs!B6</f>
        <v>40</v>
      </c>
      <c r="J6" s="144">
        <f t="shared" si="1"/>
        <v>12</v>
      </c>
      <c r="K6" s="144">
        <f t="shared" si="1"/>
        <v>10</v>
      </c>
      <c r="L6" s="144">
        <f t="shared" si="1"/>
        <v>8</v>
      </c>
      <c r="M6" s="144">
        <f t="shared" si="1"/>
        <v>6</v>
      </c>
      <c r="N6" s="144">
        <f t="shared" si="1"/>
        <v>4</v>
      </c>
    </row>
    <row r="7" spans="2:14">
      <c r="B7" s="144">
        <f t="shared" si="2"/>
        <v>60</v>
      </c>
      <c r="C7" s="144">
        <f t="shared" si="0"/>
        <v>60</v>
      </c>
      <c r="D7" s="144">
        <f>IF($B7&gt;SUM($C$3:C$3),MIN(D$3,$B7-SUM($C$3:C$3)),0)</f>
        <v>0</v>
      </c>
      <c r="E7" s="144">
        <f>IF($B7&gt;SUM($C$3:D$3),MIN(E$3,$B7-SUM($C$3:D$3)),0)</f>
        <v>0</v>
      </c>
      <c r="F7" s="144">
        <f>IF($B7&gt;SUM($C$3:E$3),MIN(F$3,$B7-SUM($C$3:E$3)),0)</f>
        <v>0</v>
      </c>
      <c r="G7" s="144">
        <f>IF($B7&gt;SUM($C$3:F$3),MIN(G$3,$B7-SUM($C$3:F$3)),0)</f>
        <v>0</v>
      </c>
      <c r="I7" s="144">
        <f>Prioritising_calcs!B7</f>
        <v>60</v>
      </c>
      <c r="J7" s="144">
        <f t="shared" si="1"/>
        <v>18</v>
      </c>
      <c r="K7" s="144">
        <f t="shared" si="1"/>
        <v>15</v>
      </c>
      <c r="L7" s="144">
        <f t="shared" si="1"/>
        <v>12</v>
      </c>
      <c r="M7" s="144">
        <f t="shared" si="1"/>
        <v>9</v>
      </c>
      <c r="N7" s="144">
        <f t="shared" si="1"/>
        <v>6</v>
      </c>
    </row>
    <row r="8" spans="2:14">
      <c r="B8" s="144">
        <f t="shared" si="2"/>
        <v>80</v>
      </c>
      <c r="C8" s="144">
        <f t="shared" si="0"/>
        <v>80</v>
      </c>
      <c r="D8" s="144">
        <f>IF($B8&gt;SUM($C$3:C$3),MIN(D$3,$B8-SUM($C$3:C$3)),0)</f>
        <v>0</v>
      </c>
      <c r="E8" s="144">
        <f>IF($B8&gt;SUM($C$3:D$3),MIN(E$3,$B8-SUM($C$3:D$3)),0)</f>
        <v>0</v>
      </c>
      <c r="F8" s="144">
        <f>IF($B8&gt;SUM($C$3:E$3),MIN(F$3,$B8-SUM($C$3:E$3)),0)</f>
        <v>0</v>
      </c>
      <c r="G8" s="144">
        <f>IF($B8&gt;SUM($C$3:F$3),MIN(G$3,$B8-SUM($C$3:F$3)),0)</f>
        <v>0</v>
      </c>
      <c r="I8" s="144">
        <f>Prioritising_calcs!B8</f>
        <v>80</v>
      </c>
      <c r="J8" s="144">
        <f t="shared" si="1"/>
        <v>24</v>
      </c>
      <c r="K8" s="144">
        <f t="shared" si="1"/>
        <v>20</v>
      </c>
      <c r="L8" s="144">
        <f t="shared" si="1"/>
        <v>16</v>
      </c>
      <c r="M8" s="144">
        <f t="shared" si="1"/>
        <v>12</v>
      </c>
      <c r="N8" s="144">
        <f t="shared" si="1"/>
        <v>8</v>
      </c>
    </row>
    <row r="9" spans="2:14">
      <c r="B9" s="144">
        <f t="shared" si="2"/>
        <v>100</v>
      </c>
      <c r="C9" s="144">
        <f t="shared" si="0"/>
        <v>100</v>
      </c>
      <c r="D9" s="144">
        <f>IF($B9&gt;SUM($C$3:C$3),MIN(D$3,$B9-SUM($C$3:C$3)),0)</f>
        <v>0</v>
      </c>
      <c r="E9" s="144">
        <f>IF($B9&gt;SUM($C$3:D$3),MIN(E$3,$B9-SUM($C$3:D$3)),0)</f>
        <v>0</v>
      </c>
      <c r="F9" s="144">
        <f>IF($B9&gt;SUM($C$3:E$3),MIN(F$3,$B9-SUM($C$3:E$3)),0)</f>
        <v>0</v>
      </c>
      <c r="G9" s="144">
        <f>IF($B9&gt;SUM($C$3:F$3),MIN(G$3,$B9-SUM($C$3:F$3)),0)</f>
        <v>0</v>
      </c>
      <c r="I9" s="144">
        <f>Prioritising_calcs!B9</f>
        <v>100</v>
      </c>
      <c r="J9" s="144">
        <f t="shared" si="1"/>
        <v>30</v>
      </c>
      <c r="K9" s="144">
        <f t="shared" si="1"/>
        <v>25</v>
      </c>
      <c r="L9" s="144">
        <f t="shared" si="1"/>
        <v>20</v>
      </c>
      <c r="M9" s="144">
        <f t="shared" si="1"/>
        <v>15</v>
      </c>
      <c r="N9" s="144">
        <f t="shared" si="1"/>
        <v>10</v>
      </c>
    </row>
    <row r="10" spans="2:14">
      <c r="B10" s="144">
        <f t="shared" si="2"/>
        <v>120</v>
      </c>
      <c r="C10" s="144">
        <f t="shared" si="0"/>
        <v>120</v>
      </c>
      <c r="D10" s="144">
        <f>IF($B10&gt;SUM($C$3:C$3),MIN(D$3,$B10-SUM($C$3:C$3)),0)</f>
        <v>0</v>
      </c>
      <c r="E10" s="144">
        <f>IF($B10&gt;SUM($C$3:D$3),MIN(E$3,$B10-SUM($C$3:D$3)),0)</f>
        <v>0</v>
      </c>
      <c r="F10" s="144">
        <f>IF($B10&gt;SUM($C$3:E$3),MIN(F$3,$B10-SUM($C$3:E$3)),0)</f>
        <v>0</v>
      </c>
      <c r="G10" s="144">
        <f>IF($B10&gt;SUM($C$3:F$3),MIN(G$3,$B10-SUM($C$3:F$3)),0)</f>
        <v>0</v>
      </c>
      <c r="I10" s="144">
        <f>Prioritising_calcs!B10</f>
        <v>120</v>
      </c>
      <c r="J10" s="144">
        <f t="shared" si="1"/>
        <v>36</v>
      </c>
      <c r="K10" s="144">
        <f t="shared" si="1"/>
        <v>30</v>
      </c>
      <c r="L10" s="144">
        <f t="shared" si="1"/>
        <v>24</v>
      </c>
      <c r="M10" s="144">
        <f t="shared" si="1"/>
        <v>18</v>
      </c>
      <c r="N10" s="144">
        <f t="shared" si="1"/>
        <v>12</v>
      </c>
    </row>
    <row r="11" spans="2:14">
      <c r="B11" s="144">
        <f t="shared" si="2"/>
        <v>140</v>
      </c>
      <c r="C11" s="144">
        <f t="shared" si="0"/>
        <v>120</v>
      </c>
      <c r="D11" s="144">
        <f>IF($B11&gt;SUM($C$3:C$3),MIN(D$3,$B11-SUM($C$3:C$3)),0)</f>
        <v>20</v>
      </c>
      <c r="E11" s="144">
        <f>IF($B11&gt;SUM($C$3:D$3),MIN(E$3,$B11-SUM($C$3:D$3)),0)</f>
        <v>0</v>
      </c>
      <c r="F11" s="144">
        <f>IF($B11&gt;SUM($C$3:E$3),MIN(F$3,$B11-SUM($C$3:E$3)),0)</f>
        <v>0</v>
      </c>
      <c r="G11" s="144">
        <f>IF($B11&gt;SUM($C$3:F$3),MIN(G$3,$B11-SUM($C$3:F$3)),0)</f>
        <v>0</v>
      </c>
      <c r="I11" s="144">
        <f>Prioritising_calcs!B11</f>
        <v>140</v>
      </c>
      <c r="J11" s="144">
        <f t="shared" si="1"/>
        <v>42</v>
      </c>
      <c r="K11" s="144">
        <f t="shared" si="1"/>
        <v>35</v>
      </c>
      <c r="L11" s="144">
        <f t="shared" si="1"/>
        <v>28</v>
      </c>
      <c r="M11" s="144">
        <f t="shared" si="1"/>
        <v>21</v>
      </c>
      <c r="N11" s="144">
        <f t="shared" si="1"/>
        <v>14</v>
      </c>
    </row>
    <row r="12" spans="2:14">
      <c r="B12" s="144">
        <f t="shared" si="2"/>
        <v>160</v>
      </c>
      <c r="C12" s="144">
        <f t="shared" si="0"/>
        <v>120</v>
      </c>
      <c r="D12" s="144">
        <f>IF($B12&gt;SUM($C$3:C$3),MIN(D$3,$B12-SUM($C$3:C$3)),0)</f>
        <v>40</v>
      </c>
      <c r="E12" s="144">
        <f>IF($B12&gt;SUM($C$3:D$3),MIN(E$3,$B12-SUM($C$3:D$3)),0)</f>
        <v>0</v>
      </c>
      <c r="F12" s="144">
        <f>IF($B12&gt;SUM($C$3:E$3),MIN(F$3,$B12-SUM($C$3:E$3)),0)</f>
        <v>0</v>
      </c>
      <c r="G12" s="144">
        <f>IF($B12&gt;SUM($C$3:F$3),MIN(G$3,$B12-SUM($C$3:F$3)),0)</f>
        <v>0</v>
      </c>
      <c r="I12" s="144">
        <f>Prioritising_calcs!B12</f>
        <v>160</v>
      </c>
      <c r="J12" s="144">
        <f t="shared" si="1"/>
        <v>48</v>
      </c>
      <c r="K12" s="144">
        <f t="shared" si="1"/>
        <v>40</v>
      </c>
      <c r="L12" s="144">
        <f t="shared" si="1"/>
        <v>32</v>
      </c>
      <c r="M12" s="144">
        <f t="shared" si="1"/>
        <v>24</v>
      </c>
      <c r="N12" s="144">
        <f t="shared" si="1"/>
        <v>16</v>
      </c>
    </row>
    <row r="13" spans="2:14">
      <c r="B13" s="144">
        <f t="shared" si="2"/>
        <v>180</v>
      </c>
      <c r="C13" s="144">
        <f t="shared" si="0"/>
        <v>120</v>
      </c>
      <c r="D13" s="144">
        <f>IF($B13&gt;SUM($C$3:C$3),MIN(D$3,$B13-SUM($C$3:C$3)),0)</f>
        <v>60</v>
      </c>
      <c r="E13" s="144">
        <f>IF($B13&gt;SUM($C$3:D$3),MIN(E$3,$B13-SUM($C$3:D$3)),0)</f>
        <v>0</v>
      </c>
      <c r="F13" s="144">
        <f>IF($B13&gt;SUM($C$3:E$3),MIN(F$3,$B13-SUM($C$3:E$3)),0)</f>
        <v>0</v>
      </c>
      <c r="G13" s="144">
        <f>IF($B13&gt;SUM($C$3:F$3),MIN(G$3,$B13-SUM($C$3:F$3)),0)</f>
        <v>0</v>
      </c>
      <c r="I13" s="144">
        <f>Prioritising_calcs!B13</f>
        <v>180</v>
      </c>
      <c r="J13" s="144">
        <f t="shared" si="1"/>
        <v>54</v>
      </c>
      <c r="K13" s="144">
        <f t="shared" si="1"/>
        <v>45</v>
      </c>
      <c r="L13" s="144">
        <f t="shared" si="1"/>
        <v>36</v>
      </c>
      <c r="M13" s="144">
        <f t="shared" si="1"/>
        <v>27</v>
      </c>
      <c r="N13" s="144">
        <f t="shared" si="1"/>
        <v>18</v>
      </c>
    </row>
    <row r="14" spans="2:14">
      <c r="B14" s="144">
        <f t="shared" si="2"/>
        <v>200</v>
      </c>
      <c r="C14" s="144">
        <f t="shared" si="0"/>
        <v>120</v>
      </c>
      <c r="D14" s="144">
        <f>IF($B14&gt;SUM($C$3:C$3),MIN(D$3,$B14-SUM($C$3:C$3)),0)</f>
        <v>80</v>
      </c>
      <c r="E14" s="144">
        <f>IF($B14&gt;SUM($C$3:D$3),MIN(E$3,$B14-SUM($C$3:D$3)),0)</f>
        <v>0</v>
      </c>
      <c r="F14" s="144">
        <f>IF($B14&gt;SUM($C$3:E$3),MIN(F$3,$B14-SUM($C$3:E$3)),0)</f>
        <v>0</v>
      </c>
      <c r="G14" s="144">
        <f>IF($B14&gt;SUM($C$3:F$3),MIN(G$3,$B14-SUM($C$3:F$3)),0)</f>
        <v>0</v>
      </c>
      <c r="I14" s="144">
        <f>Prioritising_calcs!B14</f>
        <v>200</v>
      </c>
      <c r="J14" s="144">
        <f t="shared" ref="J14:N24" si="3">$I14*J$3</f>
        <v>60</v>
      </c>
      <c r="K14" s="144">
        <f t="shared" si="3"/>
        <v>50</v>
      </c>
      <c r="L14" s="144">
        <f t="shared" si="3"/>
        <v>40</v>
      </c>
      <c r="M14" s="144">
        <f t="shared" si="3"/>
        <v>30</v>
      </c>
      <c r="N14" s="144">
        <f t="shared" si="3"/>
        <v>20</v>
      </c>
    </row>
    <row r="15" spans="2:14">
      <c r="B15" s="144">
        <f t="shared" si="2"/>
        <v>220</v>
      </c>
      <c r="C15" s="144">
        <f t="shared" si="0"/>
        <v>120</v>
      </c>
      <c r="D15" s="144">
        <f>IF($B15&gt;SUM($C$3:C$3),MIN(D$3,$B15-SUM($C$3:C$3)),0)</f>
        <v>100</v>
      </c>
      <c r="E15" s="144">
        <f>IF($B15&gt;SUM($C$3:D$3),MIN(E$3,$B15-SUM($C$3:D$3)),0)</f>
        <v>0</v>
      </c>
      <c r="F15" s="144">
        <f>IF($B15&gt;SUM($C$3:E$3),MIN(F$3,$B15-SUM($C$3:E$3)),0)</f>
        <v>0</v>
      </c>
      <c r="G15" s="144">
        <f>IF($B15&gt;SUM($C$3:F$3),MIN(G$3,$B15-SUM($C$3:F$3)),0)</f>
        <v>0</v>
      </c>
      <c r="I15" s="144">
        <f>Prioritising_calcs!B15</f>
        <v>220</v>
      </c>
      <c r="J15" s="144">
        <f t="shared" si="3"/>
        <v>66</v>
      </c>
      <c r="K15" s="144">
        <f t="shared" si="3"/>
        <v>55</v>
      </c>
      <c r="L15" s="144">
        <f t="shared" si="3"/>
        <v>44</v>
      </c>
      <c r="M15" s="144">
        <f t="shared" si="3"/>
        <v>33</v>
      </c>
      <c r="N15" s="144">
        <f t="shared" si="3"/>
        <v>22</v>
      </c>
    </row>
    <row r="16" spans="2:14">
      <c r="B16" s="144">
        <f t="shared" si="2"/>
        <v>240</v>
      </c>
      <c r="C16" s="144">
        <f t="shared" si="0"/>
        <v>120</v>
      </c>
      <c r="D16" s="144">
        <f>IF($B16&gt;SUM($C$3:C$3),MIN(D$3,$B16-SUM($C$3:C$3)),0)</f>
        <v>100</v>
      </c>
      <c r="E16" s="144">
        <f>IF($B16&gt;SUM($C$3:D$3),MIN(E$3,$B16-SUM($C$3:D$3)),0)</f>
        <v>20</v>
      </c>
      <c r="F16" s="144">
        <f>IF($B16&gt;SUM($C$3:E$3),MIN(F$3,$B16-SUM($C$3:E$3)),0)</f>
        <v>0</v>
      </c>
      <c r="G16" s="144">
        <f>IF($B16&gt;SUM($C$3:F$3),MIN(G$3,$B16-SUM($C$3:F$3)),0)</f>
        <v>0</v>
      </c>
      <c r="I16" s="144">
        <f>Prioritising_calcs!B16</f>
        <v>240</v>
      </c>
      <c r="J16" s="144">
        <f t="shared" si="3"/>
        <v>72</v>
      </c>
      <c r="K16" s="144">
        <f t="shared" si="3"/>
        <v>60</v>
      </c>
      <c r="L16" s="144">
        <f t="shared" si="3"/>
        <v>48</v>
      </c>
      <c r="M16" s="144">
        <f t="shared" si="3"/>
        <v>36</v>
      </c>
      <c r="N16" s="144">
        <f t="shared" si="3"/>
        <v>24</v>
      </c>
    </row>
    <row r="17" spans="2:14">
      <c r="B17" s="144">
        <f t="shared" si="2"/>
        <v>260</v>
      </c>
      <c r="C17" s="144">
        <f t="shared" si="0"/>
        <v>120</v>
      </c>
      <c r="D17" s="144">
        <f>IF($B17&gt;SUM($C$3:C$3),MIN(D$3,$B17-SUM($C$3:C$3)),0)</f>
        <v>100</v>
      </c>
      <c r="E17" s="144">
        <f>IF($B17&gt;SUM($C$3:D$3),MIN(E$3,$B17-SUM($C$3:D$3)),0)</f>
        <v>40</v>
      </c>
      <c r="F17" s="144">
        <f>IF($B17&gt;SUM($C$3:E$3),MIN(F$3,$B17-SUM($C$3:E$3)),0)</f>
        <v>0</v>
      </c>
      <c r="G17" s="144">
        <f>IF($B17&gt;SUM($C$3:F$3),MIN(G$3,$B17-SUM($C$3:F$3)),0)</f>
        <v>0</v>
      </c>
      <c r="I17" s="144">
        <f>Prioritising_calcs!B17</f>
        <v>260</v>
      </c>
      <c r="J17" s="144">
        <f t="shared" si="3"/>
        <v>78</v>
      </c>
      <c r="K17" s="144">
        <f t="shared" si="3"/>
        <v>65</v>
      </c>
      <c r="L17" s="144">
        <f t="shared" si="3"/>
        <v>52</v>
      </c>
      <c r="M17" s="144">
        <f t="shared" si="3"/>
        <v>39</v>
      </c>
      <c r="N17" s="144">
        <f t="shared" si="3"/>
        <v>26</v>
      </c>
    </row>
    <row r="18" spans="2:14">
      <c r="B18" s="144">
        <f t="shared" si="2"/>
        <v>280</v>
      </c>
      <c r="C18" s="144">
        <f t="shared" si="0"/>
        <v>120</v>
      </c>
      <c r="D18" s="144">
        <f>IF($B18&gt;SUM($C$3:C$3),MIN(D$3,$B18-SUM($C$3:C$3)),0)</f>
        <v>100</v>
      </c>
      <c r="E18" s="144">
        <f>IF($B18&gt;SUM($C$3:D$3),MIN(E$3,$B18-SUM($C$3:D$3)),0)</f>
        <v>60</v>
      </c>
      <c r="F18" s="144">
        <f>IF($B18&gt;SUM($C$3:E$3),MIN(F$3,$B18-SUM($C$3:E$3)),0)</f>
        <v>0</v>
      </c>
      <c r="G18" s="144">
        <f>IF($B18&gt;SUM($C$3:F$3),MIN(G$3,$B18-SUM($C$3:F$3)),0)</f>
        <v>0</v>
      </c>
      <c r="I18" s="144">
        <f>Prioritising_calcs!B18</f>
        <v>280</v>
      </c>
      <c r="J18" s="144">
        <f t="shared" si="3"/>
        <v>84</v>
      </c>
      <c r="K18" s="144">
        <f t="shared" si="3"/>
        <v>70</v>
      </c>
      <c r="L18" s="144">
        <f t="shared" si="3"/>
        <v>56</v>
      </c>
      <c r="M18" s="144">
        <f t="shared" si="3"/>
        <v>42</v>
      </c>
      <c r="N18" s="144">
        <f t="shared" si="3"/>
        <v>28</v>
      </c>
    </row>
    <row r="19" spans="2:14">
      <c r="B19" s="144">
        <f t="shared" si="2"/>
        <v>300</v>
      </c>
      <c r="C19" s="144">
        <f t="shared" si="0"/>
        <v>120</v>
      </c>
      <c r="D19" s="144">
        <f>IF($B19&gt;SUM($C$3:C$3),MIN(D$3,$B19-SUM($C$3:C$3)),0)</f>
        <v>100</v>
      </c>
      <c r="E19" s="144">
        <f>IF($B19&gt;SUM($C$3:D$3),MIN(E$3,$B19-SUM($C$3:D$3)),0)</f>
        <v>80</v>
      </c>
      <c r="F19" s="144">
        <f>IF($B19&gt;SUM($C$3:E$3),MIN(F$3,$B19-SUM($C$3:E$3)),0)</f>
        <v>0</v>
      </c>
      <c r="G19" s="144">
        <f>IF($B19&gt;SUM($C$3:F$3),MIN(G$3,$B19-SUM($C$3:F$3)),0)</f>
        <v>0</v>
      </c>
      <c r="I19" s="144">
        <f>Prioritising_calcs!B19</f>
        <v>300</v>
      </c>
      <c r="J19" s="144">
        <f t="shared" si="3"/>
        <v>90</v>
      </c>
      <c r="K19" s="144">
        <f t="shared" si="3"/>
        <v>75</v>
      </c>
      <c r="L19" s="144">
        <f t="shared" si="3"/>
        <v>60</v>
      </c>
      <c r="M19" s="144">
        <f t="shared" si="3"/>
        <v>45</v>
      </c>
      <c r="N19" s="144">
        <f t="shared" si="3"/>
        <v>30</v>
      </c>
    </row>
    <row r="20" spans="2:14">
      <c r="B20" s="144">
        <f t="shared" si="2"/>
        <v>320</v>
      </c>
      <c r="C20" s="144">
        <f t="shared" si="0"/>
        <v>120</v>
      </c>
      <c r="D20" s="144">
        <f>IF($B20&gt;SUM($C$3:C$3),MIN(D$3,$B20-SUM($C$3:C$3)),0)</f>
        <v>100</v>
      </c>
      <c r="E20" s="144">
        <f>IF($B20&gt;SUM($C$3:D$3),MIN(E$3,$B20-SUM($C$3:D$3)),0)</f>
        <v>80</v>
      </c>
      <c r="F20" s="144">
        <f>IF($B20&gt;SUM($C$3:E$3),MIN(F$3,$B20-SUM($C$3:E$3)),0)</f>
        <v>20</v>
      </c>
      <c r="G20" s="144">
        <f>IF($B20&gt;SUM($C$3:F$3),MIN(G$3,$B20-SUM($C$3:F$3)),0)</f>
        <v>0</v>
      </c>
      <c r="I20" s="144">
        <f>Prioritising_calcs!B20</f>
        <v>320</v>
      </c>
      <c r="J20" s="144">
        <f t="shared" si="3"/>
        <v>96</v>
      </c>
      <c r="K20" s="144">
        <f t="shared" si="3"/>
        <v>80</v>
      </c>
      <c r="L20" s="144">
        <f t="shared" si="3"/>
        <v>64</v>
      </c>
      <c r="M20" s="144">
        <f t="shared" si="3"/>
        <v>48</v>
      </c>
      <c r="N20" s="144">
        <f t="shared" si="3"/>
        <v>32</v>
      </c>
    </row>
    <row r="21" spans="2:14">
      <c r="B21" s="144">
        <f t="shared" si="2"/>
        <v>340</v>
      </c>
      <c r="C21" s="144">
        <f t="shared" si="0"/>
        <v>120</v>
      </c>
      <c r="D21" s="144">
        <f>IF($B21&gt;SUM($C$3:C$3),MIN(D$3,$B21-SUM($C$3:C$3)),0)</f>
        <v>100</v>
      </c>
      <c r="E21" s="144">
        <f>IF($B21&gt;SUM($C$3:D$3),MIN(E$3,$B21-SUM($C$3:D$3)),0)</f>
        <v>80</v>
      </c>
      <c r="F21" s="144">
        <f>IF($B21&gt;SUM($C$3:E$3),MIN(F$3,$B21-SUM($C$3:E$3)),0)</f>
        <v>40</v>
      </c>
      <c r="G21" s="144">
        <f>IF($B21&gt;SUM($C$3:F$3),MIN(G$3,$B21-SUM($C$3:F$3)),0)</f>
        <v>0</v>
      </c>
      <c r="I21" s="144">
        <f>Prioritising_calcs!B21</f>
        <v>340</v>
      </c>
      <c r="J21" s="144">
        <f t="shared" si="3"/>
        <v>102</v>
      </c>
      <c r="K21" s="144">
        <f t="shared" si="3"/>
        <v>85</v>
      </c>
      <c r="L21" s="144">
        <f t="shared" si="3"/>
        <v>68</v>
      </c>
      <c r="M21" s="144">
        <f t="shared" si="3"/>
        <v>51</v>
      </c>
      <c r="N21" s="144">
        <f t="shared" si="3"/>
        <v>34</v>
      </c>
    </row>
    <row r="22" spans="2:14">
      <c r="B22" s="144">
        <f t="shared" si="2"/>
        <v>360</v>
      </c>
      <c r="C22" s="144">
        <f t="shared" si="0"/>
        <v>120</v>
      </c>
      <c r="D22" s="144">
        <f>IF($B22&gt;SUM($C$3:C$3),MIN(D$3,$B22-SUM($C$3:C$3)),0)</f>
        <v>100</v>
      </c>
      <c r="E22" s="144">
        <f>IF($B22&gt;SUM($C$3:D$3),MIN(E$3,$B22-SUM($C$3:D$3)),0)</f>
        <v>80</v>
      </c>
      <c r="F22" s="144">
        <f>IF($B22&gt;SUM($C$3:E$3),MIN(F$3,$B22-SUM($C$3:E$3)),0)</f>
        <v>60</v>
      </c>
      <c r="G22" s="144">
        <f>IF($B22&gt;SUM($C$3:F$3),MIN(G$3,$B22-SUM($C$3:F$3)),0)</f>
        <v>0</v>
      </c>
      <c r="I22" s="144">
        <f>Prioritising_calcs!B22</f>
        <v>360</v>
      </c>
      <c r="J22" s="144">
        <f t="shared" si="3"/>
        <v>108</v>
      </c>
      <c r="K22" s="144">
        <f t="shared" si="3"/>
        <v>90</v>
      </c>
      <c r="L22" s="144">
        <f t="shared" si="3"/>
        <v>72</v>
      </c>
      <c r="M22" s="144">
        <f t="shared" si="3"/>
        <v>54</v>
      </c>
      <c r="N22" s="144">
        <f t="shared" si="3"/>
        <v>36</v>
      </c>
    </row>
    <row r="23" spans="2:14">
      <c r="B23" s="144">
        <f t="shared" si="2"/>
        <v>380</v>
      </c>
      <c r="C23" s="144">
        <f t="shared" si="0"/>
        <v>120</v>
      </c>
      <c r="D23" s="144">
        <f>IF($B23&gt;SUM($C$3:C$3),MIN(D$3,$B23-SUM($C$3:C$3)),0)</f>
        <v>100</v>
      </c>
      <c r="E23" s="144">
        <f>IF($B23&gt;SUM($C$3:D$3),MIN(E$3,$B23-SUM($C$3:D$3)),0)</f>
        <v>80</v>
      </c>
      <c r="F23" s="144">
        <f>IF($B23&gt;SUM($C$3:E$3),MIN(F$3,$B23-SUM($C$3:E$3)),0)</f>
        <v>60</v>
      </c>
      <c r="G23" s="144">
        <f>IF($B23&gt;SUM($C$3:F$3),MIN(G$3,$B23-SUM($C$3:F$3)),0)</f>
        <v>20</v>
      </c>
      <c r="I23" s="144">
        <f>Prioritising_calcs!B23</f>
        <v>380</v>
      </c>
      <c r="J23" s="144">
        <f t="shared" si="3"/>
        <v>114</v>
      </c>
      <c r="K23" s="144">
        <f t="shared" si="3"/>
        <v>95</v>
      </c>
      <c r="L23" s="144">
        <f t="shared" si="3"/>
        <v>76</v>
      </c>
      <c r="M23" s="144">
        <f t="shared" si="3"/>
        <v>57</v>
      </c>
      <c r="N23" s="144">
        <f t="shared" si="3"/>
        <v>38</v>
      </c>
    </row>
    <row r="24" spans="2:14">
      <c r="B24" s="144">
        <f t="shared" si="2"/>
        <v>400</v>
      </c>
      <c r="C24" s="144">
        <f t="shared" si="0"/>
        <v>120</v>
      </c>
      <c r="D24" s="144">
        <f>IF($B24&gt;SUM($C$3:C$3),MIN(D$3,$B24-SUM($C$3:C$3)),0)</f>
        <v>100</v>
      </c>
      <c r="E24" s="144">
        <f>IF($B24&gt;SUM($C$3:D$3),MIN(E$3,$B24-SUM($C$3:D$3)),0)</f>
        <v>80</v>
      </c>
      <c r="F24" s="144">
        <f>IF($B24&gt;SUM($C$3:E$3),MIN(F$3,$B24-SUM($C$3:E$3)),0)</f>
        <v>60</v>
      </c>
      <c r="G24" s="144">
        <f>IF($B24&gt;SUM($C$3:F$3),MIN(G$3,$B24-SUM($C$3:F$3)),0)</f>
        <v>40</v>
      </c>
      <c r="I24" s="144">
        <f>Prioritising_calcs!B24</f>
        <v>400</v>
      </c>
      <c r="J24" s="144">
        <f t="shared" si="3"/>
        <v>120</v>
      </c>
      <c r="K24" s="144">
        <f t="shared" si="3"/>
        <v>100</v>
      </c>
      <c r="L24" s="144">
        <f t="shared" si="3"/>
        <v>80</v>
      </c>
      <c r="M24" s="144">
        <f t="shared" si="3"/>
        <v>60</v>
      </c>
      <c r="N24" s="144">
        <f t="shared" si="3"/>
        <v>40</v>
      </c>
    </row>
  </sheetData>
  <sheetProtection algorithmName="SHA-512" hashValue="iUnrlbU1eDESmrABLTRuDVFqAeevLLDxC6q1oFlnJlCMLmt+1Y5xnuLsV7RKRMHqJ3US7jEZbdmTxP9LKzyykg==" saltValue="tEVBRCwERDOtxIEqp3rSDg==" spinCount="100000" sheet="1" objects="1" scenarios="1"/>
  <phoneticPr fontId="2"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B1:M53"/>
  <sheetViews>
    <sheetView showGridLines="0" showRowColHeaders="0" topLeftCell="A43" workbookViewId="0">
      <selection activeCell="F52" sqref="F52:I52"/>
    </sheetView>
  </sheetViews>
  <sheetFormatPr defaultColWidth="0" defaultRowHeight="12.5" zeroHeight="1"/>
  <cols>
    <col min="1" max="2" width="1" style="32" customWidth="1"/>
    <col min="3" max="5" width="10.81640625" style="32" customWidth="1"/>
    <col min="6" max="6" width="10.54296875" style="32" customWidth="1"/>
    <col min="7" max="9" width="10.81640625" style="32" customWidth="1"/>
    <col min="10" max="10" width="10.54296875" style="32" customWidth="1"/>
    <col min="11" max="13" width="10.81640625" style="32" customWidth="1"/>
    <col min="14" max="14" width="1.81640625" style="32" customWidth="1"/>
    <col min="15" max="16384" width="0" style="32" hidden="1"/>
  </cols>
  <sheetData>
    <row r="1" spans="2:13"/>
    <row r="2" spans="2:13">
      <c r="C2" s="103"/>
      <c r="D2" s="103"/>
      <c r="E2" s="103"/>
      <c r="F2" s="1494"/>
      <c r="G2" s="1494"/>
      <c r="H2" s="1494"/>
      <c r="I2" s="1494"/>
      <c r="J2" s="103"/>
      <c r="K2" s="103"/>
      <c r="L2" s="103"/>
      <c r="M2" s="103"/>
    </row>
    <row r="3" spans="2:13" ht="16" thickBot="1">
      <c r="C3" s="416" t="s">
        <v>1388</v>
      </c>
    </row>
    <row r="4" spans="2:13" ht="13" thickTop="1">
      <c r="K4" s="1521" t="str">
        <f ca="1">OFFSET(ad_first,OFFSET(ads_top,ROW(ads_ranking)-1,1),0)</f>
        <v>XNPV gives a different answer if cells are blank than when they contain zero - these and other "traps" are explained in our workshops</v>
      </c>
      <c r="L4" s="1522"/>
      <c r="M4" s="1523"/>
    </row>
    <row r="5" spans="2:13" ht="13">
      <c r="B5" s="1165"/>
      <c r="C5" s="1584" t="s">
        <v>275</v>
      </c>
      <c r="D5" s="1585"/>
      <c r="E5" s="1585"/>
      <c r="F5" s="1585"/>
      <c r="G5" s="1585"/>
      <c r="H5" s="1585"/>
      <c r="I5" s="1585"/>
      <c r="J5" s="1568"/>
      <c r="K5" s="1524"/>
      <c r="L5" s="1525"/>
      <c r="M5" s="1526"/>
    </row>
    <row r="6" spans="2:13">
      <c r="B6" s="776"/>
      <c r="C6" s="1518"/>
      <c r="D6" s="1518"/>
      <c r="E6" s="1518"/>
      <c r="F6" s="1518"/>
      <c r="G6" s="1518"/>
      <c r="H6" s="1518"/>
      <c r="I6" s="1518"/>
      <c r="J6" s="1544"/>
      <c r="K6" s="1524"/>
      <c r="L6" s="1525"/>
      <c r="M6" s="1526"/>
    </row>
    <row r="7" spans="2:13">
      <c r="B7" s="776"/>
      <c r="C7" s="1518"/>
      <c r="D7" s="1518"/>
      <c r="E7" s="1518"/>
      <c r="F7" s="1518"/>
      <c r="G7" s="1518"/>
      <c r="H7" s="1518"/>
      <c r="I7" s="1518"/>
      <c r="J7" s="1544"/>
      <c r="K7" s="1524"/>
      <c r="L7" s="1525"/>
      <c r="M7" s="1526"/>
    </row>
    <row r="8" spans="2:13" ht="13" thickBot="1">
      <c r="C8" s="1518"/>
      <c r="D8" s="1518"/>
      <c r="E8" s="1518"/>
      <c r="F8" s="1518"/>
      <c r="G8" s="1518"/>
      <c r="H8" s="1518"/>
      <c r="I8" s="1518"/>
      <c r="J8" s="1544"/>
      <c r="K8" s="1527"/>
      <c r="L8" s="1528"/>
      <c r="M8" s="1529"/>
    </row>
    <row r="9" spans="2:13" ht="13" thickTop="1">
      <c r="C9" s="619"/>
      <c r="D9" s="619"/>
      <c r="E9" s="619"/>
      <c r="F9" s="619"/>
      <c r="G9" s="619"/>
      <c r="H9" s="619"/>
      <c r="I9" s="619"/>
      <c r="J9" s="1441"/>
      <c r="K9" s="1314"/>
      <c r="L9" s="1314"/>
      <c r="M9" s="1314"/>
    </row>
    <row r="10" spans="2:13" ht="13">
      <c r="C10" s="128" t="str">
        <f>functions_used</f>
        <v>Spreadsheet functions used in this example</v>
      </c>
      <c r="D10" s="80"/>
      <c r="E10" s="80"/>
      <c r="F10" s="80"/>
      <c r="G10" s="80"/>
      <c r="H10" s="80"/>
      <c r="I10" s="80"/>
      <c r="J10" s="80"/>
      <c r="K10" s="1314"/>
      <c r="L10" s="1314"/>
      <c r="M10" s="1314"/>
    </row>
    <row r="11" spans="2:13">
      <c r="C11" s="80" t="str">
        <f>functions_ranking</f>
        <v>CHOOSE, CODE, IF, LARGE, MATCH, MID, OFFSET, RIGHT, ROW, TEXT</v>
      </c>
      <c r="D11" s="80"/>
      <c r="E11" s="80"/>
      <c r="F11" s="80"/>
      <c r="G11" s="80"/>
      <c r="H11" s="80"/>
      <c r="I11" s="80"/>
      <c r="J11" s="80"/>
      <c r="K11" s="1310"/>
      <c r="L11" s="1311"/>
      <c r="M11" s="1311"/>
    </row>
    <row r="12" spans="2:13">
      <c r="I12" s="73"/>
      <c r="J12" s="73"/>
    </row>
    <row r="13" spans="2:13">
      <c r="C13" s="1483" t="s">
        <v>772</v>
      </c>
      <c r="D13" s="1483"/>
      <c r="E13" s="1483"/>
      <c r="F13" s="1483"/>
      <c r="G13" s="1483"/>
      <c r="H13" s="1483"/>
      <c r="I13" s="1483"/>
      <c r="J13" s="1483"/>
      <c r="K13" s="1483"/>
      <c r="L13" s="1483"/>
      <c r="M13" s="1483"/>
    </row>
    <row r="14" spans="2:13" ht="7.5" customHeight="1">
      <c r="C14" s="417"/>
      <c r="D14" s="418"/>
      <c r="E14" s="418"/>
      <c r="F14" s="418"/>
      <c r="G14" s="418"/>
      <c r="H14" s="418"/>
      <c r="I14" s="418"/>
      <c r="J14" s="418"/>
      <c r="K14" s="418"/>
      <c r="L14" s="418"/>
      <c r="M14" s="418"/>
    </row>
    <row r="15" spans="2:13">
      <c r="C15" s="419" t="s">
        <v>666</v>
      </c>
      <c r="D15" s="721" t="s">
        <v>667</v>
      </c>
      <c r="E15" s="722" t="s">
        <v>668</v>
      </c>
      <c r="G15" s="419" t="s">
        <v>666</v>
      </c>
      <c r="H15" s="721" t="s">
        <v>667</v>
      </c>
      <c r="I15" s="722" t="s">
        <v>668</v>
      </c>
      <c r="K15" s="419" t="s">
        <v>666</v>
      </c>
      <c r="L15" s="721" t="s">
        <v>667</v>
      </c>
      <c r="M15" s="722" t="s">
        <v>668</v>
      </c>
    </row>
    <row r="16" spans="2:13">
      <c r="C16" s="422">
        <v>40148</v>
      </c>
      <c r="D16" s="423" t="s">
        <v>671</v>
      </c>
      <c r="E16" s="424">
        <v>36.74</v>
      </c>
      <c r="G16" s="422">
        <v>40149</v>
      </c>
      <c r="H16" s="423" t="s">
        <v>672</v>
      </c>
      <c r="I16" s="424">
        <v>68.98</v>
      </c>
      <c r="K16" s="422">
        <v>40151</v>
      </c>
      <c r="L16" s="423" t="s">
        <v>673</v>
      </c>
      <c r="M16" s="424">
        <v>94.54</v>
      </c>
    </row>
    <row r="17" spans="3:13">
      <c r="C17" s="422">
        <v>40183</v>
      </c>
      <c r="D17" s="423" t="s">
        <v>674</v>
      </c>
      <c r="E17" s="424">
        <v>3.92</v>
      </c>
      <c r="G17" s="422">
        <v>40235</v>
      </c>
      <c r="H17" s="423" t="s">
        <v>675</v>
      </c>
      <c r="I17" s="424">
        <v>25.93</v>
      </c>
      <c r="K17" s="422">
        <v>40190</v>
      </c>
      <c r="L17" s="423" t="s">
        <v>676</v>
      </c>
      <c r="M17" s="424">
        <v>89.01</v>
      </c>
    </row>
    <row r="18" spans="3:13">
      <c r="C18" s="422">
        <v>40213</v>
      </c>
      <c r="D18" s="423" t="s">
        <v>677</v>
      </c>
      <c r="E18" s="424">
        <v>83.02</v>
      </c>
      <c r="G18" s="422">
        <v>40234</v>
      </c>
      <c r="H18" s="423" t="s">
        <v>678</v>
      </c>
      <c r="I18" s="424">
        <v>64.739999999999995</v>
      </c>
      <c r="K18" s="422">
        <v>40231</v>
      </c>
      <c r="L18" s="423" t="s">
        <v>679</v>
      </c>
      <c r="M18" s="424">
        <v>49.96</v>
      </c>
    </row>
    <row r="19" spans="3:13">
      <c r="C19" s="422">
        <v>40201</v>
      </c>
      <c r="D19" s="423" t="s">
        <v>680</v>
      </c>
      <c r="E19" s="424">
        <v>2.2999999999999998</v>
      </c>
      <c r="G19" s="422">
        <v>40162</v>
      </c>
      <c r="H19" s="423" t="s">
        <v>681</v>
      </c>
      <c r="I19" s="424">
        <v>52.75</v>
      </c>
      <c r="K19" s="422">
        <v>40232</v>
      </c>
      <c r="L19" s="423" t="s">
        <v>682</v>
      </c>
      <c r="M19" s="424">
        <v>77.52</v>
      </c>
    </row>
    <row r="20" spans="3:13">
      <c r="C20" s="422">
        <v>40220</v>
      </c>
      <c r="D20" s="423" t="s">
        <v>683</v>
      </c>
      <c r="E20" s="424">
        <v>24.06</v>
      </c>
      <c r="G20" s="422">
        <v>40153</v>
      </c>
      <c r="H20" s="423" t="s">
        <v>684</v>
      </c>
      <c r="I20" s="424">
        <v>35.869999999999997</v>
      </c>
      <c r="K20" s="422">
        <v>40194</v>
      </c>
      <c r="L20" s="423" t="s">
        <v>685</v>
      </c>
      <c r="M20" s="424">
        <v>45.08</v>
      </c>
    </row>
    <row r="21" spans="3:13">
      <c r="C21" s="422">
        <v>40233</v>
      </c>
      <c r="D21" s="423" t="s">
        <v>686</v>
      </c>
      <c r="E21" s="424">
        <v>80.930000000000007</v>
      </c>
      <c r="G21" s="422">
        <v>40187</v>
      </c>
      <c r="H21" s="423" t="s">
        <v>687</v>
      </c>
      <c r="I21" s="424">
        <v>14.07</v>
      </c>
      <c r="K21" s="422">
        <v>40169</v>
      </c>
      <c r="L21" s="423" t="s">
        <v>688</v>
      </c>
      <c r="M21" s="424">
        <v>65.099999999999994</v>
      </c>
    </row>
    <row r="22" spans="3:13">
      <c r="C22" s="422">
        <v>40186</v>
      </c>
      <c r="D22" s="423" t="s">
        <v>689</v>
      </c>
      <c r="E22" s="424">
        <v>69.58</v>
      </c>
      <c r="G22" s="422">
        <v>40221</v>
      </c>
      <c r="H22" s="423" t="s">
        <v>690</v>
      </c>
      <c r="I22" s="424">
        <v>44.01</v>
      </c>
      <c r="K22" s="422">
        <v>40222</v>
      </c>
      <c r="L22" s="423" t="s">
        <v>691</v>
      </c>
      <c r="M22" s="424">
        <v>58.66</v>
      </c>
    </row>
    <row r="23" spans="3:13">
      <c r="C23" s="422">
        <v>40160</v>
      </c>
      <c r="D23" s="423" t="s">
        <v>692</v>
      </c>
      <c r="E23" s="424">
        <v>28.15</v>
      </c>
      <c r="G23" s="422">
        <v>40219</v>
      </c>
      <c r="H23" s="423" t="s">
        <v>693</v>
      </c>
      <c r="I23" s="424">
        <v>91.38</v>
      </c>
      <c r="K23" s="422">
        <v>40218</v>
      </c>
      <c r="L23" s="423" t="s">
        <v>694</v>
      </c>
      <c r="M23" s="424">
        <v>87.32</v>
      </c>
    </row>
    <row r="24" spans="3:13">
      <c r="C24" s="425">
        <v>40192</v>
      </c>
      <c r="D24" s="426" t="s">
        <v>695</v>
      </c>
      <c r="E24" s="427">
        <v>79.88</v>
      </c>
      <c r="G24" s="425">
        <v>40184</v>
      </c>
      <c r="H24" s="426" t="s">
        <v>696</v>
      </c>
      <c r="I24" s="427">
        <v>81.849999999999994</v>
      </c>
      <c r="K24" s="425">
        <v>40168</v>
      </c>
      <c r="L24" s="426" t="s">
        <v>697</v>
      </c>
      <c r="M24" s="427">
        <v>88.07</v>
      </c>
    </row>
    <row r="25" spans="3:13">
      <c r="C25" s="428"/>
      <c r="E25" s="429"/>
      <c r="G25" s="428"/>
      <c r="I25" s="429"/>
      <c r="K25" s="428"/>
      <c r="M25" s="429"/>
    </row>
    <row r="26" spans="3:13">
      <c r="C26" s="1483" t="s">
        <v>783</v>
      </c>
      <c r="D26" s="1483"/>
      <c r="E26" s="1483"/>
      <c r="F26" s="1483"/>
      <c r="G26" s="1483"/>
      <c r="H26" s="1483"/>
      <c r="I26" s="1483"/>
      <c r="J26" s="1483"/>
      <c r="K26" s="1483"/>
      <c r="L26" s="1483"/>
      <c r="M26" s="1483"/>
    </row>
    <row r="27" spans="3:13" ht="7.5" customHeight="1">
      <c r="C27" s="428"/>
      <c r="E27" s="429"/>
      <c r="G27" s="428"/>
      <c r="I27" s="429"/>
      <c r="K27" s="428"/>
      <c r="M27" s="429"/>
    </row>
    <row r="28" spans="3:13" ht="18" customHeight="1">
      <c r="D28" s="1586" t="s">
        <v>782</v>
      </c>
      <c r="E28" s="430"/>
      <c r="F28" s="430"/>
      <c r="G28" s="430"/>
      <c r="H28" s="431" t="s">
        <v>149</v>
      </c>
      <c r="I28" s="432"/>
    </row>
    <row r="29" spans="3:13" ht="18" customHeight="1">
      <c r="D29" s="1587"/>
      <c r="E29" s="433"/>
      <c r="F29" s="433"/>
      <c r="G29" s="433"/>
      <c r="H29" s="434" t="s">
        <v>1438</v>
      </c>
      <c r="I29" s="435"/>
    </row>
    <row r="30" spans="3:13" ht="4.5" customHeight="1">
      <c r="D30" s="80"/>
      <c r="E30" s="80"/>
      <c r="F30" s="80"/>
      <c r="G30" s="80"/>
      <c r="H30" s="80"/>
      <c r="I30" s="80"/>
    </row>
    <row r="31" spans="3:13">
      <c r="C31" s="1483" t="s">
        <v>784</v>
      </c>
      <c r="D31" s="1483"/>
      <c r="E31" s="1483"/>
      <c r="F31" s="1483"/>
      <c r="G31" s="1483"/>
      <c r="H31" s="1483"/>
      <c r="I31" s="1483"/>
      <c r="J31" s="1483"/>
      <c r="K31" s="1483"/>
      <c r="L31" s="1483"/>
      <c r="M31" s="1483"/>
    </row>
    <row r="32" spans="3:13" ht="4.5" customHeight="1">
      <c r="D32" s="80"/>
      <c r="E32" s="80"/>
      <c r="F32" s="80"/>
      <c r="G32" s="80"/>
      <c r="H32" s="80"/>
      <c r="I32" s="80"/>
    </row>
    <row r="33" spans="4:9">
      <c r="D33" s="80"/>
      <c r="E33" s="80"/>
      <c r="F33" s="80"/>
      <c r="G33" s="80"/>
      <c r="H33" s="80"/>
      <c r="I33" s="80"/>
    </row>
    <row r="34" spans="4:9">
      <c r="D34" s="80"/>
      <c r="E34" s="80"/>
      <c r="F34" s="80"/>
      <c r="G34" s="80"/>
      <c r="H34" s="80"/>
      <c r="I34" s="80"/>
    </row>
    <row r="35" spans="4:9">
      <c r="D35" s="80"/>
      <c r="E35" s="80"/>
      <c r="F35" s="80"/>
      <c r="G35" s="80"/>
      <c r="H35" s="80"/>
      <c r="I35" s="80"/>
    </row>
    <row r="36" spans="4:9">
      <c r="D36" s="80"/>
      <c r="E36" s="80"/>
      <c r="F36" s="80"/>
      <c r="G36" s="80"/>
      <c r="H36" s="80"/>
      <c r="I36" s="80"/>
    </row>
    <row r="37" spans="4:9">
      <c r="D37" s="80"/>
      <c r="E37" s="80"/>
      <c r="F37" s="80"/>
      <c r="G37" s="80"/>
      <c r="H37" s="80"/>
      <c r="I37" s="80"/>
    </row>
    <row r="38" spans="4:9">
      <c r="D38" s="80"/>
      <c r="E38" s="80"/>
      <c r="F38" s="80"/>
      <c r="G38" s="80"/>
      <c r="H38" s="80"/>
      <c r="I38" s="80"/>
    </row>
    <row r="39" spans="4:9">
      <c r="D39" s="80"/>
      <c r="E39" s="80"/>
      <c r="F39" s="80"/>
      <c r="G39" s="80"/>
      <c r="H39" s="80"/>
      <c r="I39" s="80"/>
    </row>
    <row r="40" spans="4:9">
      <c r="D40" s="80"/>
      <c r="E40" s="80"/>
      <c r="F40" s="80"/>
      <c r="G40" s="80"/>
      <c r="H40" s="80"/>
      <c r="I40" s="80"/>
    </row>
    <row r="41" spans="4:9">
      <c r="D41" s="80"/>
      <c r="E41" s="80"/>
      <c r="F41" s="80"/>
      <c r="G41" s="80"/>
      <c r="H41" s="80"/>
      <c r="I41" s="80"/>
    </row>
    <row r="42" spans="4:9">
      <c r="D42" s="80"/>
      <c r="E42" s="80"/>
      <c r="F42" s="80"/>
      <c r="G42" s="80"/>
      <c r="H42" s="80"/>
      <c r="I42" s="80"/>
    </row>
    <row r="43" spans="4:9">
      <c r="D43" s="80"/>
      <c r="E43" s="80"/>
      <c r="F43" s="80"/>
      <c r="G43" s="80"/>
      <c r="H43" s="80"/>
      <c r="I43" s="80"/>
    </row>
    <row r="44" spans="4:9">
      <c r="D44" s="80"/>
      <c r="E44" s="80"/>
      <c r="F44" s="80"/>
      <c r="G44" s="80"/>
      <c r="H44" s="80"/>
      <c r="I44" s="80"/>
    </row>
    <row r="45" spans="4:9">
      <c r="D45" s="80"/>
      <c r="E45" s="80"/>
      <c r="F45" s="80"/>
      <c r="G45" s="80"/>
      <c r="H45" s="80"/>
      <c r="I45" s="80"/>
    </row>
    <row r="46" spans="4:9">
      <c r="D46" s="80"/>
      <c r="E46" s="80"/>
      <c r="F46" s="80"/>
      <c r="G46" s="80"/>
      <c r="H46" s="80"/>
      <c r="I46" s="80"/>
    </row>
    <row r="47" spans="4:9">
      <c r="D47" s="80"/>
      <c r="E47" s="80"/>
      <c r="F47" s="80"/>
      <c r="G47" s="80"/>
      <c r="H47" s="80"/>
      <c r="I47" s="80"/>
    </row>
    <row r="48" spans="4:9"/>
    <row r="49" spans="3:13"/>
    <row r="50" spans="3:13">
      <c r="C50" s="1454" t="str">
        <f>back_to_index</f>
        <v>Back to contents</v>
      </c>
      <c r="D50" s="1454"/>
      <c r="F50" s="1530" t="str">
        <f>page_prefix &amp; page_Ranking &amp; page_suffix</f>
        <v>- Page 12 -</v>
      </c>
      <c r="G50" s="1530"/>
      <c r="H50" s="1530"/>
      <c r="I50" s="1530"/>
      <c r="L50" s="1485" t="str">
        <f>back_to_top</f>
        <v>Back to top</v>
      </c>
      <c r="M50" s="1485"/>
    </row>
    <row r="51" spans="3:13">
      <c r="F51" s="1530" t="str">
        <f>copyright</f>
        <v>Copyright (c) 2009 Tykoh Group Pty Limited</v>
      </c>
      <c r="G51" s="1530"/>
      <c r="H51" s="1530"/>
      <c r="I51" s="1530"/>
    </row>
    <row r="52" spans="3:13">
      <c r="F52" s="1452" t="str">
        <f>home_address</f>
        <v>www.tykoh.com</v>
      </c>
      <c r="G52" s="1452"/>
      <c r="H52" s="1452"/>
      <c r="I52" s="1452"/>
    </row>
    <row r="53" spans="3:13"/>
  </sheetData>
  <sheetProtection algorithmName="SHA-512" hashValue="9HEPZGYYTgLNEIqmE95ALevrsBsFn9tLtYai6McopqviTEyYVQP7Zyq1e13l5kv7bSXgzi/FgrlNH05g1brPPw==" saltValue="1T1Ox/lACzvaGgD3LoKWtw==" spinCount="100000" sheet="1" objects="1" scenarios="1"/>
  <mergeCells count="12">
    <mergeCell ref="F51:I51"/>
    <mergeCell ref="F52:I52"/>
    <mergeCell ref="F50:I50"/>
    <mergeCell ref="C13:M13"/>
    <mergeCell ref="C26:M26"/>
    <mergeCell ref="C31:M31"/>
    <mergeCell ref="D28:D29"/>
    <mergeCell ref="C50:D50"/>
    <mergeCell ref="L50:M50"/>
    <mergeCell ref="F2:I2"/>
    <mergeCell ref="C5:J8"/>
    <mergeCell ref="K4:M8"/>
  </mergeCells>
  <phoneticPr fontId="2" type="noConversion"/>
  <hyperlinks>
    <hyperlink ref="L50:M50" location="hh_ranking" display="hh_ranking" xr:uid="{00000000-0004-0000-1000-000000000000}"/>
    <hyperlink ref="C50:D50" location="hh_index" display="hh_index" xr:uid="{00000000-0004-0000-1000-000001000000}"/>
    <hyperlink ref="F52:I52" r:id="rId1" display="https://www.tykoh.com/" xr:uid="{00000000-0004-0000-1000-000002000000}"/>
  </hyperlinks>
  <pageMargins left="0.75" right="0.75" top="1" bottom="1" header="0.5" footer="0.5"/>
  <pageSetup paperSize="9" scale="7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7" r:id="rId5" name="Drop Down 5">
              <controlPr defaultSize="0" autoLine="0" autoPict="0">
                <anchor moveWithCells="1">
                  <from>
                    <xdr:col>4</xdr:col>
                    <xdr:colOff>298450</xdr:colOff>
                    <xdr:row>27</xdr:row>
                    <xdr:rowOff>127000</xdr:rowOff>
                  </from>
                  <to>
                    <xdr:col>6</xdr:col>
                    <xdr:colOff>50800</xdr:colOff>
                    <xdr:row>28</xdr:row>
                    <xdr:rowOff>95250</xdr:rowOff>
                  </to>
                </anchor>
              </controlPr>
            </control>
          </mc:Choice>
        </mc:AlternateContent>
        <mc:AlternateContent xmlns:mc="http://schemas.openxmlformats.org/markup-compatibility/2006">
          <mc:Choice Requires="x14">
            <control shapeId="3078" r:id="rId6" name="Option Button 6">
              <controlPr defaultSize="0" autoFill="0" autoLine="0" autoPict="0">
                <anchor moveWithCells="1">
                  <from>
                    <xdr:col>6</xdr:col>
                    <xdr:colOff>425450</xdr:colOff>
                    <xdr:row>27</xdr:row>
                    <xdr:rowOff>12700</xdr:rowOff>
                  </from>
                  <to>
                    <xdr:col>6</xdr:col>
                    <xdr:colOff>742950</xdr:colOff>
                    <xdr:row>28</xdr:row>
                    <xdr:rowOff>0</xdr:rowOff>
                  </to>
                </anchor>
              </controlPr>
            </control>
          </mc:Choice>
        </mc:AlternateContent>
        <mc:AlternateContent xmlns:mc="http://schemas.openxmlformats.org/markup-compatibility/2006">
          <mc:Choice Requires="x14">
            <control shapeId="3079" r:id="rId7" name="Option Button 7">
              <controlPr defaultSize="0" autoFill="0" autoLine="0" autoPict="0">
                <anchor moveWithCells="1">
                  <from>
                    <xdr:col>6</xdr:col>
                    <xdr:colOff>425450</xdr:colOff>
                    <xdr:row>28</xdr:row>
                    <xdr:rowOff>12700</xdr:rowOff>
                  </from>
                  <to>
                    <xdr:col>6</xdr:col>
                    <xdr:colOff>742950</xdr:colOff>
                    <xdr:row>29</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AA29"/>
  <sheetViews>
    <sheetView workbookViewId="0"/>
  </sheetViews>
  <sheetFormatPr defaultRowHeight="12.5"/>
  <cols>
    <col min="1" max="2" width="1" customWidth="1"/>
  </cols>
  <sheetData>
    <row r="1" spans="1:27" s="5" customFormat="1">
      <c r="M1" s="9" t="s">
        <v>776</v>
      </c>
      <c r="N1" s="10"/>
      <c r="O1" s="10"/>
      <c r="P1" s="11"/>
      <c r="Q1" s="1588" t="s">
        <v>775</v>
      </c>
      <c r="R1" s="1589"/>
      <c r="S1" s="1589"/>
      <c r="T1" s="1590"/>
      <c r="U1" s="1588" t="s">
        <v>780</v>
      </c>
      <c r="V1" s="1589"/>
      <c r="W1" s="1589"/>
      <c r="X1" s="1590"/>
    </row>
    <row r="2" spans="1:27" s="5" customFormat="1">
      <c r="F2" s="5">
        <v>2</v>
      </c>
      <c r="G2" s="5" t="s">
        <v>666</v>
      </c>
      <c r="I2" s="5">
        <v>1</v>
      </c>
      <c r="J2" s="5">
        <v>2</v>
      </c>
      <c r="K2" s="5">
        <v>3</v>
      </c>
      <c r="M2" s="12" t="s">
        <v>779</v>
      </c>
      <c r="N2" s="12" t="s">
        <v>767</v>
      </c>
      <c r="O2" s="12" t="s">
        <v>777</v>
      </c>
      <c r="P2" s="12" t="s">
        <v>778</v>
      </c>
      <c r="Q2" s="12" t="s">
        <v>779</v>
      </c>
      <c r="R2" s="12" t="s">
        <v>767</v>
      </c>
      <c r="S2" s="5" t="s">
        <v>666</v>
      </c>
      <c r="T2" s="12" t="s">
        <v>778</v>
      </c>
      <c r="U2" s="12" t="s">
        <v>779</v>
      </c>
      <c r="V2" s="12" t="s">
        <v>767</v>
      </c>
      <c r="W2" s="12" t="s">
        <v>777</v>
      </c>
      <c r="X2" s="12" t="s">
        <v>778</v>
      </c>
      <c r="Z2" s="12" t="s">
        <v>781</v>
      </c>
      <c r="AA2" s="12" t="s">
        <v>778</v>
      </c>
    </row>
    <row r="3" spans="1:27" s="5" customFormat="1">
      <c r="A3" s="5">
        <v>1</v>
      </c>
      <c r="B3" s="5">
        <f>Ranking!C16</f>
        <v>40148</v>
      </c>
      <c r="C3" s="5" t="str">
        <f>Ranking!D16</f>
        <v>DII-34</v>
      </c>
      <c r="D3" s="5">
        <f>Ranking!E16</f>
        <v>36.74</v>
      </c>
      <c r="E3" s="5">
        <f t="shared" ref="E3:E29" si="0">LARGE($D$3:$D$29,A3)</f>
        <v>94.54</v>
      </c>
      <c r="F3" s="5">
        <v>1</v>
      </c>
      <c r="G3" s="5" t="s">
        <v>773</v>
      </c>
      <c r="I3" s="5">
        <f t="shared" ref="I3:K29" si="1">CODE(MID($C3,I$2,1))-CODE("A")</f>
        <v>3</v>
      </c>
      <c r="J3" s="5">
        <f t="shared" si="1"/>
        <v>8</v>
      </c>
      <c r="K3" s="5">
        <f t="shared" si="1"/>
        <v>8</v>
      </c>
      <c r="L3" s="5">
        <f t="shared" ref="L3:L29" si="2">10000*I3+1000*J3+100*K3+RIGHT(C3,2)</f>
        <v>38834</v>
      </c>
      <c r="M3" s="5">
        <f>LARGE(L$3:L$29,IF($F$3=1,28-$A3,$A3))</f>
        <v>1380</v>
      </c>
      <c r="N3" s="5">
        <f t="shared" ref="N3:N29" si="3">MATCH(M3,$L$3:$L$29,0)</f>
        <v>26</v>
      </c>
      <c r="O3" s="5" t="str">
        <f t="shared" ref="O3:O29" ca="1" si="4">OFFSET($C$2,N3,0)</f>
        <v>ABD-80</v>
      </c>
      <c r="P3" s="5">
        <f t="shared" ref="P3:P29" ca="1" si="5">OFFSET($D$2,N3,0)</f>
        <v>87.32</v>
      </c>
      <c r="Q3" s="5">
        <f>LARGE($B$3:$B$29,IF($F$3=1,28-$A3,$A3))</f>
        <v>40148</v>
      </c>
      <c r="R3" s="5">
        <f t="shared" ref="R3:R29" si="6">MATCH(Q3,$B$3:$B$29,0)</f>
        <v>1</v>
      </c>
      <c r="S3" s="5">
        <f t="shared" ref="S3:S29" ca="1" si="7">OFFSET(B$2,R3,0)</f>
        <v>40148</v>
      </c>
      <c r="T3" s="5">
        <f t="shared" ref="T3:T29" ca="1" si="8">OFFSET(D$2,R3,0)</f>
        <v>36.74</v>
      </c>
      <c r="U3" s="5">
        <f>LARGE($D$3:$D$29,IF($F$3=1,28-$A3,$A3))</f>
        <v>2.2999999999999998</v>
      </c>
      <c r="V3" s="5">
        <f t="shared" ref="V3:V29" si="9">MATCH(U3,$D$3:$D$29,0)</f>
        <v>4</v>
      </c>
      <c r="W3" s="5" t="str">
        <f t="shared" ref="W3:W29" ca="1" si="10">OFFSET(C$2,V3,0)</f>
        <v>HGD-98</v>
      </c>
      <c r="X3" s="5">
        <f t="shared" ref="X3:X29" ca="1" si="11">OFFSET(D$2,V3,0)</f>
        <v>2.2999999999999998</v>
      </c>
      <c r="Z3" s="5" t="str">
        <f t="shared" ref="Z3:Z29" ca="1" si="12">CHOOSE($F$2,TEXT(S3,"d/mm/yy"),O3,W3)</f>
        <v>ABD-80</v>
      </c>
      <c r="AA3" s="5">
        <f t="shared" ref="AA3:AA29" ca="1" si="13">CHOOSE($F$2,T3,P3,X3)</f>
        <v>87.32</v>
      </c>
    </row>
    <row r="4" spans="1:27" s="5" customFormat="1">
      <c r="A4" s="5">
        <f t="shared" ref="A4:A29" si="14">A3+1</f>
        <v>2</v>
      </c>
      <c r="B4" s="5">
        <f>Ranking!C17</f>
        <v>40183</v>
      </c>
      <c r="C4" s="5" t="str">
        <f>Ranking!D17</f>
        <v>HEJ-61</v>
      </c>
      <c r="D4" s="5">
        <f>Ranking!E17</f>
        <v>3.92</v>
      </c>
      <c r="E4" s="5">
        <f t="shared" si="0"/>
        <v>91.38</v>
      </c>
      <c r="G4" s="5" t="s">
        <v>774</v>
      </c>
      <c r="I4" s="5">
        <f t="shared" si="1"/>
        <v>7</v>
      </c>
      <c r="J4" s="5">
        <f t="shared" si="1"/>
        <v>4</v>
      </c>
      <c r="K4" s="5">
        <f t="shared" si="1"/>
        <v>9</v>
      </c>
      <c r="L4" s="5">
        <f t="shared" si="2"/>
        <v>74961</v>
      </c>
      <c r="M4" s="5">
        <f t="shared" ref="M4:M29" si="15">LARGE(L$3:L$29,IF($F$3=1,28-$A4,$A4))</f>
        <v>2374</v>
      </c>
      <c r="N4" s="5">
        <f t="shared" si="3"/>
        <v>18</v>
      </c>
      <c r="O4" s="5" t="str">
        <f t="shared" ca="1" si="4"/>
        <v>ACD-74</v>
      </c>
      <c r="P4" s="5">
        <f t="shared" ca="1" si="5"/>
        <v>81.849999999999994</v>
      </c>
      <c r="Q4" s="5">
        <f t="shared" ref="Q4:Q29" si="16">LARGE($B$3:$B$29,IF($F$3=1,28-$A4,$A4))</f>
        <v>40149</v>
      </c>
      <c r="R4" s="5">
        <f t="shared" si="6"/>
        <v>10</v>
      </c>
      <c r="S4" s="5">
        <f t="shared" ca="1" si="7"/>
        <v>40149</v>
      </c>
      <c r="T4" s="5">
        <f t="shared" ca="1" si="8"/>
        <v>68.98</v>
      </c>
      <c r="U4" s="5">
        <f t="shared" ref="U4:U29" si="17">LARGE($D$3:$D$29,IF($F$3=1,28-$A4,$A4))</f>
        <v>3.92</v>
      </c>
      <c r="V4" s="5">
        <f t="shared" si="9"/>
        <v>2</v>
      </c>
      <c r="W4" s="5" t="str">
        <f t="shared" ca="1" si="10"/>
        <v>HEJ-61</v>
      </c>
      <c r="X4" s="5">
        <f t="shared" ca="1" si="11"/>
        <v>3.92</v>
      </c>
      <c r="Z4" s="5" t="str">
        <f t="shared" ca="1" si="12"/>
        <v>ACD-74</v>
      </c>
      <c r="AA4" s="5">
        <f t="shared" ca="1" si="13"/>
        <v>81.849999999999994</v>
      </c>
    </row>
    <row r="5" spans="1:27" s="5" customFormat="1">
      <c r="A5" s="5">
        <f t="shared" si="14"/>
        <v>3</v>
      </c>
      <c r="B5" s="5">
        <f>Ranking!C18</f>
        <v>40213</v>
      </c>
      <c r="C5" s="5" t="str">
        <f>Ranking!D18</f>
        <v>JFG-72</v>
      </c>
      <c r="D5" s="5">
        <f>Ranking!E18</f>
        <v>83.02</v>
      </c>
      <c r="E5" s="5">
        <f t="shared" si="0"/>
        <v>89.01</v>
      </c>
      <c r="F5" s="5" t="str">
        <f>"Transactions ordered by " &amp; CHOOSE(F2,"date", "code","size") &amp; " in " &amp; IF(F3=1,"in","de")&amp;"creasing order."</f>
        <v>Transactions ordered by code in increasing order.</v>
      </c>
      <c r="I5" s="5">
        <f t="shared" si="1"/>
        <v>9</v>
      </c>
      <c r="J5" s="5">
        <f t="shared" si="1"/>
        <v>5</v>
      </c>
      <c r="K5" s="5">
        <f t="shared" si="1"/>
        <v>6</v>
      </c>
      <c r="L5" s="5">
        <f t="shared" si="2"/>
        <v>95672</v>
      </c>
      <c r="M5" s="5">
        <f t="shared" si="15"/>
        <v>3258</v>
      </c>
      <c r="N5" s="5">
        <f t="shared" si="3"/>
        <v>6</v>
      </c>
      <c r="O5" s="5" t="str">
        <f t="shared" ca="1" si="4"/>
        <v>ADC-58</v>
      </c>
      <c r="P5" s="5">
        <f t="shared" ca="1" si="5"/>
        <v>80.930000000000007</v>
      </c>
      <c r="Q5" s="5">
        <f t="shared" si="16"/>
        <v>40151</v>
      </c>
      <c r="R5" s="5">
        <f t="shared" si="6"/>
        <v>19</v>
      </c>
      <c r="S5" s="5">
        <f t="shared" ca="1" si="7"/>
        <v>40151</v>
      </c>
      <c r="T5" s="5">
        <f t="shared" ca="1" si="8"/>
        <v>94.54</v>
      </c>
      <c r="U5" s="5">
        <f t="shared" si="17"/>
        <v>14.07</v>
      </c>
      <c r="V5" s="5">
        <f t="shared" si="9"/>
        <v>15</v>
      </c>
      <c r="W5" s="5" t="str">
        <f t="shared" ca="1" si="10"/>
        <v>CAA-60</v>
      </c>
      <c r="X5" s="5">
        <f t="shared" ca="1" si="11"/>
        <v>14.07</v>
      </c>
      <c r="Z5" s="5" t="str">
        <f t="shared" ca="1" si="12"/>
        <v>ADC-58</v>
      </c>
      <c r="AA5" s="5">
        <f t="shared" ca="1" si="13"/>
        <v>80.930000000000007</v>
      </c>
    </row>
    <row r="6" spans="1:27" s="5" customFormat="1">
      <c r="A6" s="5">
        <f t="shared" si="14"/>
        <v>4</v>
      </c>
      <c r="B6" s="5">
        <f>Ranking!C19</f>
        <v>40201</v>
      </c>
      <c r="C6" s="5" t="str">
        <f>Ranking!D19</f>
        <v>HGD-98</v>
      </c>
      <c r="D6" s="5">
        <f>Ranking!E19</f>
        <v>2.2999999999999998</v>
      </c>
      <c r="E6" s="5">
        <f t="shared" si="0"/>
        <v>88.07</v>
      </c>
      <c r="I6" s="5">
        <f t="shared" si="1"/>
        <v>7</v>
      </c>
      <c r="J6" s="5">
        <f t="shared" si="1"/>
        <v>6</v>
      </c>
      <c r="K6" s="5">
        <f t="shared" si="1"/>
        <v>3</v>
      </c>
      <c r="L6" s="5">
        <f t="shared" si="2"/>
        <v>76398</v>
      </c>
      <c r="M6" s="5">
        <f t="shared" si="15"/>
        <v>7681</v>
      </c>
      <c r="N6" s="5">
        <f t="shared" si="3"/>
        <v>20</v>
      </c>
      <c r="O6" s="5" t="str">
        <f t="shared" ca="1" si="4"/>
        <v>AHG-81</v>
      </c>
      <c r="P6" s="5">
        <f t="shared" ca="1" si="5"/>
        <v>89.01</v>
      </c>
      <c r="Q6" s="5">
        <f t="shared" si="16"/>
        <v>40153</v>
      </c>
      <c r="R6" s="5">
        <f t="shared" si="6"/>
        <v>14</v>
      </c>
      <c r="S6" s="5">
        <f t="shared" ca="1" si="7"/>
        <v>40153</v>
      </c>
      <c r="T6" s="5">
        <f t="shared" ca="1" si="8"/>
        <v>35.869999999999997</v>
      </c>
      <c r="U6" s="5">
        <f t="shared" si="17"/>
        <v>24.06</v>
      </c>
      <c r="V6" s="5">
        <f t="shared" si="9"/>
        <v>5</v>
      </c>
      <c r="W6" s="5" t="str">
        <f t="shared" ca="1" si="10"/>
        <v>BIB-77</v>
      </c>
      <c r="X6" s="5">
        <f t="shared" ca="1" si="11"/>
        <v>24.06</v>
      </c>
      <c r="Z6" s="5" t="str">
        <f t="shared" ca="1" si="12"/>
        <v>AHG-81</v>
      </c>
      <c r="AA6" s="5">
        <f t="shared" ca="1" si="13"/>
        <v>89.01</v>
      </c>
    </row>
    <row r="7" spans="1:27" s="5" customFormat="1">
      <c r="A7" s="5">
        <f t="shared" si="14"/>
        <v>5</v>
      </c>
      <c r="B7" s="5">
        <f>Ranking!C20</f>
        <v>40220</v>
      </c>
      <c r="C7" s="5" t="str">
        <f>Ranking!D20</f>
        <v>BIB-77</v>
      </c>
      <c r="D7" s="5">
        <f>Ranking!E20</f>
        <v>24.06</v>
      </c>
      <c r="E7" s="5">
        <f t="shared" si="0"/>
        <v>87.32</v>
      </c>
      <c r="I7" s="5">
        <f t="shared" si="1"/>
        <v>1</v>
      </c>
      <c r="J7" s="5">
        <f t="shared" si="1"/>
        <v>8</v>
      </c>
      <c r="K7" s="5">
        <f t="shared" si="1"/>
        <v>1</v>
      </c>
      <c r="L7" s="5">
        <f t="shared" si="2"/>
        <v>18177</v>
      </c>
      <c r="M7" s="5">
        <f t="shared" si="15"/>
        <v>18177</v>
      </c>
      <c r="N7" s="5">
        <f t="shared" si="3"/>
        <v>5</v>
      </c>
      <c r="O7" s="5" t="str">
        <f t="shared" ca="1" si="4"/>
        <v>BIB-77</v>
      </c>
      <c r="P7" s="5">
        <f t="shared" ca="1" si="5"/>
        <v>24.06</v>
      </c>
      <c r="Q7" s="5">
        <f t="shared" si="16"/>
        <v>40160</v>
      </c>
      <c r="R7" s="5">
        <f t="shared" si="6"/>
        <v>8</v>
      </c>
      <c r="S7" s="5">
        <f t="shared" ca="1" si="7"/>
        <v>40160</v>
      </c>
      <c r="T7" s="5">
        <f t="shared" ca="1" si="8"/>
        <v>28.15</v>
      </c>
      <c r="U7" s="5">
        <f t="shared" si="17"/>
        <v>25.93</v>
      </c>
      <c r="V7" s="5">
        <f t="shared" si="9"/>
        <v>11</v>
      </c>
      <c r="W7" s="5" t="str">
        <f t="shared" ca="1" si="10"/>
        <v>HFF-90</v>
      </c>
      <c r="X7" s="5">
        <f t="shared" ca="1" si="11"/>
        <v>25.93</v>
      </c>
      <c r="Z7" s="5" t="str">
        <f t="shared" ca="1" si="12"/>
        <v>BIB-77</v>
      </c>
      <c r="AA7" s="5">
        <f t="shared" ca="1" si="13"/>
        <v>24.06</v>
      </c>
    </row>
    <row r="8" spans="1:27" s="5" customFormat="1">
      <c r="A8" s="5">
        <f t="shared" si="14"/>
        <v>6</v>
      </c>
      <c r="B8" s="5">
        <f>Ranking!C21</f>
        <v>40233</v>
      </c>
      <c r="C8" s="5" t="str">
        <f>Ranking!D21</f>
        <v>ADC-58</v>
      </c>
      <c r="D8" s="5">
        <f>Ranking!E21</f>
        <v>80.930000000000007</v>
      </c>
      <c r="E8" s="5">
        <f t="shared" si="0"/>
        <v>83.02</v>
      </c>
      <c r="I8" s="5">
        <f t="shared" si="1"/>
        <v>0</v>
      </c>
      <c r="J8" s="5">
        <f t="shared" si="1"/>
        <v>3</v>
      </c>
      <c r="K8" s="5">
        <f t="shared" si="1"/>
        <v>2</v>
      </c>
      <c r="L8" s="5">
        <f t="shared" si="2"/>
        <v>3258</v>
      </c>
      <c r="M8" s="5">
        <f t="shared" si="15"/>
        <v>18230</v>
      </c>
      <c r="N8" s="5">
        <f t="shared" si="3"/>
        <v>19</v>
      </c>
      <c r="O8" s="5" t="str">
        <f t="shared" ca="1" si="4"/>
        <v>BIC-30</v>
      </c>
      <c r="P8" s="5">
        <f t="shared" ca="1" si="5"/>
        <v>94.54</v>
      </c>
      <c r="Q8" s="5">
        <f t="shared" si="16"/>
        <v>40162</v>
      </c>
      <c r="R8" s="5">
        <f t="shared" si="6"/>
        <v>13</v>
      </c>
      <c r="S8" s="5">
        <f t="shared" ca="1" si="7"/>
        <v>40162</v>
      </c>
      <c r="T8" s="5">
        <f t="shared" ca="1" si="8"/>
        <v>52.75</v>
      </c>
      <c r="U8" s="5">
        <f t="shared" si="17"/>
        <v>28.15</v>
      </c>
      <c r="V8" s="5">
        <f t="shared" si="9"/>
        <v>8</v>
      </c>
      <c r="W8" s="5" t="str">
        <f t="shared" ca="1" si="10"/>
        <v>FGD-28</v>
      </c>
      <c r="X8" s="5">
        <f t="shared" ca="1" si="11"/>
        <v>28.15</v>
      </c>
      <c r="Z8" s="5" t="str">
        <f t="shared" ca="1" si="12"/>
        <v>BIC-30</v>
      </c>
      <c r="AA8" s="5">
        <f t="shared" ca="1" si="13"/>
        <v>94.54</v>
      </c>
    </row>
    <row r="9" spans="1:27" s="5" customFormat="1">
      <c r="A9" s="5">
        <f t="shared" si="14"/>
        <v>7</v>
      </c>
      <c r="B9" s="5">
        <f>Ranking!C22</f>
        <v>40186</v>
      </c>
      <c r="C9" s="5" t="str">
        <f>Ranking!D22</f>
        <v>FED-17</v>
      </c>
      <c r="D9" s="5">
        <f>Ranking!E22</f>
        <v>69.58</v>
      </c>
      <c r="E9" s="5">
        <f t="shared" si="0"/>
        <v>81.849999999999994</v>
      </c>
      <c r="I9" s="5">
        <f t="shared" si="1"/>
        <v>5</v>
      </c>
      <c r="J9" s="5">
        <f t="shared" si="1"/>
        <v>4</v>
      </c>
      <c r="K9" s="5">
        <f t="shared" si="1"/>
        <v>3</v>
      </c>
      <c r="L9" s="5">
        <f t="shared" si="2"/>
        <v>54317</v>
      </c>
      <c r="M9" s="5">
        <f t="shared" si="15"/>
        <v>20060</v>
      </c>
      <c r="N9" s="5">
        <f t="shared" si="3"/>
        <v>15</v>
      </c>
      <c r="O9" s="5" t="str">
        <f t="shared" ca="1" si="4"/>
        <v>CAA-60</v>
      </c>
      <c r="P9" s="5">
        <f t="shared" ca="1" si="5"/>
        <v>14.07</v>
      </c>
      <c r="Q9" s="5">
        <f t="shared" si="16"/>
        <v>40168</v>
      </c>
      <c r="R9" s="5">
        <f t="shared" si="6"/>
        <v>27</v>
      </c>
      <c r="S9" s="5">
        <f t="shared" ca="1" si="7"/>
        <v>40168</v>
      </c>
      <c r="T9" s="5">
        <f t="shared" ca="1" si="8"/>
        <v>88.07</v>
      </c>
      <c r="U9" s="5">
        <f t="shared" si="17"/>
        <v>35.869999999999997</v>
      </c>
      <c r="V9" s="5">
        <f t="shared" si="9"/>
        <v>14</v>
      </c>
      <c r="W9" s="5" t="str">
        <f t="shared" ca="1" si="10"/>
        <v>GIE-35</v>
      </c>
      <c r="X9" s="5">
        <f t="shared" ca="1" si="11"/>
        <v>35.869999999999997</v>
      </c>
      <c r="Z9" s="5" t="str">
        <f t="shared" ca="1" si="12"/>
        <v>CAA-60</v>
      </c>
      <c r="AA9" s="5">
        <f t="shared" ca="1" si="13"/>
        <v>14.07</v>
      </c>
    </row>
    <row r="10" spans="1:27" s="5" customFormat="1">
      <c r="A10" s="5">
        <f t="shared" si="14"/>
        <v>8</v>
      </c>
      <c r="B10" s="5">
        <f>Ranking!C23</f>
        <v>40160</v>
      </c>
      <c r="C10" s="5" t="str">
        <f>Ranking!D23</f>
        <v>FGD-28</v>
      </c>
      <c r="D10" s="5">
        <f>Ranking!E23</f>
        <v>28.15</v>
      </c>
      <c r="E10" s="5">
        <f t="shared" si="0"/>
        <v>80.930000000000007</v>
      </c>
      <c r="I10" s="5">
        <f t="shared" si="1"/>
        <v>5</v>
      </c>
      <c r="J10" s="5">
        <f t="shared" si="1"/>
        <v>6</v>
      </c>
      <c r="K10" s="5">
        <f t="shared" si="1"/>
        <v>3</v>
      </c>
      <c r="L10" s="5">
        <f t="shared" si="2"/>
        <v>56328</v>
      </c>
      <c r="M10" s="5">
        <f t="shared" si="15"/>
        <v>26933</v>
      </c>
      <c r="N10" s="5">
        <f t="shared" si="3"/>
        <v>23</v>
      </c>
      <c r="O10" s="5" t="str">
        <f t="shared" ca="1" si="4"/>
        <v>CGJ-33</v>
      </c>
      <c r="P10" s="5">
        <f t="shared" ca="1" si="5"/>
        <v>45.08</v>
      </c>
      <c r="Q10" s="5">
        <f t="shared" si="16"/>
        <v>40169</v>
      </c>
      <c r="R10" s="5">
        <f t="shared" si="6"/>
        <v>24</v>
      </c>
      <c r="S10" s="5">
        <f t="shared" ca="1" si="7"/>
        <v>40169</v>
      </c>
      <c r="T10" s="5">
        <f t="shared" ca="1" si="8"/>
        <v>65.099999999999994</v>
      </c>
      <c r="U10" s="5">
        <f t="shared" si="17"/>
        <v>36.74</v>
      </c>
      <c r="V10" s="5">
        <f t="shared" si="9"/>
        <v>1</v>
      </c>
      <c r="W10" s="5" t="str">
        <f t="shared" ca="1" si="10"/>
        <v>DII-34</v>
      </c>
      <c r="X10" s="5">
        <f t="shared" ca="1" si="11"/>
        <v>36.74</v>
      </c>
      <c r="Z10" s="5" t="str">
        <f t="shared" ca="1" si="12"/>
        <v>CGJ-33</v>
      </c>
      <c r="AA10" s="5">
        <f t="shared" ca="1" si="13"/>
        <v>45.08</v>
      </c>
    </row>
    <row r="11" spans="1:27" s="5" customFormat="1">
      <c r="A11" s="5">
        <f t="shared" si="14"/>
        <v>9</v>
      </c>
      <c r="B11" s="5">
        <f>Ranking!C24</f>
        <v>40192</v>
      </c>
      <c r="C11" s="5" t="str">
        <f>Ranking!D24</f>
        <v>EID-69</v>
      </c>
      <c r="D11" s="5">
        <f>Ranking!E24</f>
        <v>79.88</v>
      </c>
      <c r="E11" s="5">
        <f t="shared" si="0"/>
        <v>79.88</v>
      </c>
      <c r="I11" s="5">
        <f t="shared" si="1"/>
        <v>4</v>
      </c>
      <c r="J11" s="5">
        <f t="shared" si="1"/>
        <v>8</v>
      </c>
      <c r="K11" s="5">
        <f t="shared" si="1"/>
        <v>3</v>
      </c>
      <c r="L11" s="5">
        <f t="shared" si="2"/>
        <v>48369</v>
      </c>
      <c r="M11" s="5">
        <f t="shared" si="15"/>
        <v>29532</v>
      </c>
      <c r="N11" s="5">
        <f t="shared" si="3"/>
        <v>16</v>
      </c>
      <c r="O11" s="5" t="str">
        <f t="shared" ca="1" si="4"/>
        <v>CJF-32</v>
      </c>
      <c r="P11" s="5">
        <f t="shared" ca="1" si="5"/>
        <v>44.01</v>
      </c>
      <c r="Q11" s="5">
        <f t="shared" si="16"/>
        <v>40183</v>
      </c>
      <c r="R11" s="5">
        <f t="shared" si="6"/>
        <v>2</v>
      </c>
      <c r="S11" s="5">
        <f t="shared" ca="1" si="7"/>
        <v>40183</v>
      </c>
      <c r="T11" s="5">
        <f t="shared" ca="1" si="8"/>
        <v>3.92</v>
      </c>
      <c r="U11" s="5">
        <f t="shared" si="17"/>
        <v>44.01</v>
      </c>
      <c r="V11" s="5">
        <f t="shared" si="9"/>
        <v>16</v>
      </c>
      <c r="W11" s="5" t="str">
        <f t="shared" ca="1" si="10"/>
        <v>CJF-32</v>
      </c>
      <c r="X11" s="5">
        <f t="shared" ca="1" si="11"/>
        <v>44.01</v>
      </c>
      <c r="Z11" s="5" t="str">
        <f t="shared" ca="1" si="12"/>
        <v>CJF-32</v>
      </c>
      <c r="AA11" s="5">
        <f t="shared" ca="1" si="13"/>
        <v>44.01</v>
      </c>
    </row>
    <row r="12" spans="1:27" s="5" customFormat="1">
      <c r="A12" s="5">
        <f t="shared" si="14"/>
        <v>10</v>
      </c>
      <c r="B12" s="5">
        <f>Ranking!G16</f>
        <v>40149</v>
      </c>
      <c r="C12" s="5" t="str">
        <f>Ranking!H16</f>
        <v>EAD-53</v>
      </c>
      <c r="D12" s="5">
        <f>Ranking!I16</f>
        <v>68.98</v>
      </c>
      <c r="E12" s="5">
        <f t="shared" si="0"/>
        <v>77.52</v>
      </c>
      <c r="I12" s="5">
        <f t="shared" si="1"/>
        <v>4</v>
      </c>
      <c r="J12" s="5">
        <f t="shared" si="1"/>
        <v>0</v>
      </c>
      <c r="K12" s="5">
        <f t="shared" si="1"/>
        <v>3</v>
      </c>
      <c r="L12" s="5">
        <f t="shared" si="2"/>
        <v>40353</v>
      </c>
      <c r="M12" s="5">
        <f t="shared" si="15"/>
        <v>38834</v>
      </c>
      <c r="N12" s="5">
        <f t="shared" si="3"/>
        <v>1</v>
      </c>
      <c r="O12" s="5" t="str">
        <f t="shared" ca="1" si="4"/>
        <v>DII-34</v>
      </c>
      <c r="P12" s="5">
        <f t="shared" ca="1" si="5"/>
        <v>36.74</v>
      </c>
      <c r="Q12" s="5">
        <f t="shared" si="16"/>
        <v>40184</v>
      </c>
      <c r="R12" s="5">
        <f t="shared" si="6"/>
        <v>18</v>
      </c>
      <c r="S12" s="5">
        <f t="shared" ca="1" si="7"/>
        <v>40184</v>
      </c>
      <c r="T12" s="5">
        <f t="shared" ca="1" si="8"/>
        <v>81.849999999999994</v>
      </c>
      <c r="U12" s="5">
        <f t="shared" si="17"/>
        <v>45.08</v>
      </c>
      <c r="V12" s="5">
        <f t="shared" si="9"/>
        <v>23</v>
      </c>
      <c r="W12" s="5" t="str">
        <f t="shared" ca="1" si="10"/>
        <v>CGJ-33</v>
      </c>
      <c r="X12" s="5">
        <f t="shared" ca="1" si="11"/>
        <v>45.08</v>
      </c>
      <c r="Z12" s="5" t="str">
        <f t="shared" ca="1" si="12"/>
        <v>DII-34</v>
      </c>
      <c r="AA12" s="5">
        <f t="shared" ca="1" si="13"/>
        <v>36.74</v>
      </c>
    </row>
    <row r="13" spans="1:27" s="5" customFormat="1">
      <c r="A13" s="5">
        <f t="shared" si="14"/>
        <v>11</v>
      </c>
      <c r="B13" s="5">
        <f>Ranking!G17</f>
        <v>40235</v>
      </c>
      <c r="C13" s="5" t="str">
        <f>Ranking!H17</f>
        <v>HFF-90</v>
      </c>
      <c r="D13" s="5">
        <f>Ranking!I17</f>
        <v>25.93</v>
      </c>
      <c r="E13" s="5">
        <f t="shared" si="0"/>
        <v>69.58</v>
      </c>
      <c r="I13" s="5">
        <f t="shared" si="1"/>
        <v>7</v>
      </c>
      <c r="J13" s="5">
        <f t="shared" si="1"/>
        <v>5</v>
      </c>
      <c r="K13" s="5">
        <f t="shared" si="1"/>
        <v>5</v>
      </c>
      <c r="L13" s="5">
        <f t="shared" si="2"/>
        <v>75590</v>
      </c>
      <c r="M13" s="5">
        <f t="shared" si="15"/>
        <v>40353</v>
      </c>
      <c r="N13" s="5">
        <f t="shared" si="3"/>
        <v>10</v>
      </c>
      <c r="O13" s="5" t="str">
        <f t="shared" ca="1" si="4"/>
        <v>EAD-53</v>
      </c>
      <c r="P13" s="5">
        <f t="shared" ca="1" si="5"/>
        <v>68.98</v>
      </c>
      <c r="Q13" s="5">
        <f t="shared" si="16"/>
        <v>40186</v>
      </c>
      <c r="R13" s="5">
        <f t="shared" si="6"/>
        <v>7</v>
      </c>
      <c r="S13" s="5">
        <f t="shared" ca="1" si="7"/>
        <v>40186</v>
      </c>
      <c r="T13" s="5">
        <f t="shared" ca="1" si="8"/>
        <v>69.58</v>
      </c>
      <c r="U13" s="5">
        <f t="shared" si="17"/>
        <v>49.96</v>
      </c>
      <c r="V13" s="5">
        <f t="shared" si="9"/>
        <v>21</v>
      </c>
      <c r="W13" s="5" t="str">
        <f t="shared" ca="1" si="10"/>
        <v>JHC-24</v>
      </c>
      <c r="X13" s="5">
        <f t="shared" ca="1" si="11"/>
        <v>49.96</v>
      </c>
      <c r="Z13" s="5" t="str">
        <f t="shared" ca="1" si="12"/>
        <v>EAD-53</v>
      </c>
      <c r="AA13" s="5">
        <f t="shared" ca="1" si="13"/>
        <v>68.98</v>
      </c>
    </row>
    <row r="14" spans="1:27" s="5" customFormat="1">
      <c r="A14" s="5">
        <f t="shared" si="14"/>
        <v>12</v>
      </c>
      <c r="B14" s="5">
        <f>Ranking!G18</f>
        <v>40234</v>
      </c>
      <c r="C14" s="5" t="str">
        <f>Ranking!H18</f>
        <v>ICC-26</v>
      </c>
      <c r="D14" s="5">
        <f>Ranking!I18</f>
        <v>64.739999999999995</v>
      </c>
      <c r="E14" s="5">
        <f t="shared" si="0"/>
        <v>68.98</v>
      </c>
      <c r="I14" s="5">
        <f t="shared" si="1"/>
        <v>8</v>
      </c>
      <c r="J14" s="5">
        <f t="shared" si="1"/>
        <v>2</v>
      </c>
      <c r="K14" s="5">
        <f t="shared" si="1"/>
        <v>2</v>
      </c>
      <c r="L14" s="5">
        <f t="shared" si="2"/>
        <v>82226</v>
      </c>
      <c r="M14" s="5">
        <f t="shared" si="15"/>
        <v>46433</v>
      </c>
      <c r="N14" s="5">
        <f t="shared" si="3"/>
        <v>17</v>
      </c>
      <c r="O14" s="5" t="str">
        <f t="shared" ca="1" si="4"/>
        <v>EGE-33</v>
      </c>
      <c r="P14" s="5">
        <f t="shared" ca="1" si="5"/>
        <v>91.38</v>
      </c>
      <c r="Q14" s="5">
        <f t="shared" si="16"/>
        <v>40187</v>
      </c>
      <c r="R14" s="5">
        <f t="shared" si="6"/>
        <v>15</v>
      </c>
      <c r="S14" s="5">
        <f t="shared" ca="1" si="7"/>
        <v>40187</v>
      </c>
      <c r="T14" s="5">
        <f t="shared" ca="1" si="8"/>
        <v>14.07</v>
      </c>
      <c r="U14" s="5">
        <f t="shared" si="17"/>
        <v>52.75</v>
      </c>
      <c r="V14" s="5">
        <f t="shared" si="9"/>
        <v>13</v>
      </c>
      <c r="W14" s="5" t="str">
        <f t="shared" ca="1" si="10"/>
        <v>IHE-25</v>
      </c>
      <c r="X14" s="5">
        <f t="shared" ca="1" si="11"/>
        <v>52.75</v>
      </c>
      <c r="Z14" s="5" t="str">
        <f t="shared" ca="1" si="12"/>
        <v>EGE-33</v>
      </c>
      <c r="AA14" s="5">
        <f t="shared" ca="1" si="13"/>
        <v>91.38</v>
      </c>
    </row>
    <row r="15" spans="1:27" s="5" customFormat="1">
      <c r="A15" s="5">
        <f t="shared" si="14"/>
        <v>13</v>
      </c>
      <c r="B15" s="5">
        <f>Ranking!G19</f>
        <v>40162</v>
      </c>
      <c r="C15" s="5" t="str">
        <f>Ranking!H19</f>
        <v>IHE-25</v>
      </c>
      <c r="D15" s="5">
        <f>Ranking!I19</f>
        <v>52.75</v>
      </c>
      <c r="E15" s="5">
        <f t="shared" si="0"/>
        <v>65.099999999999994</v>
      </c>
      <c r="I15" s="5">
        <f t="shared" si="1"/>
        <v>8</v>
      </c>
      <c r="J15" s="5">
        <f t="shared" si="1"/>
        <v>7</v>
      </c>
      <c r="K15" s="5">
        <f t="shared" si="1"/>
        <v>4</v>
      </c>
      <c r="L15" s="5">
        <f t="shared" si="2"/>
        <v>87425</v>
      </c>
      <c r="M15" s="5">
        <f t="shared" si="15"/>
        <v>48369</v>
      </c>
      <c r="N15" s="5">
        <f t="shared" si="3"/>
        <v>9</v>
      </c>
      <c r="O15" s="5" t="str">
        <f t="shared" ca="1" si="4"/>
        <v>EID-69</v>
      </c>
      <c r="P15" s="5">
        <f t="shared" ca="1" si="5"/>
        <v>79.88</v>
      </c>
      <c r="Q15" s="5">
        <f t="shared" si="16"/>
        <v>40190</v>
      </c>
      <c r="R15" s="5">
        <f t="shared" si="6"/>
        <v>20</v>
      </c>
      <c r="S15" s="5">
        <f t="shared" ca="1" si="7"/>
        <v>40190</v>
      </c>
      <c r="T15" s="5">
        <f t="shared" ca="1" si="8"/>
        <v>89.01</v>
      </c>
      <c r="U15" s="5">
        <f t="shared" si="17"/>
        <v>58.66</v>
      </c>
      <c r="V15" s="5">
        <f t="shared" si="9"/>
        <v>25</v>
      </c>
      <c r="W15" s="5" t="str">
        <f t="shared" ca="1" si="10"/>
        <v>HHE-97</v>
      </c>
      <c r="X15" s="5">
        <f t="shared" ca="1" si="11"/>
        <v>58.66</v>
      </c>
      <c r="Z15" s="5" t="str">
        <f t="shared" ca="1" si="12"/>
        <v>EID-69</v>
      </c>
      <c r="AA15" s="5">
        <f t="shared" ca="1" si="13"/>
        <v>79.88</v>
      </c>
    </row>
    <row r="16" spans="1:27" s="5" customFormat="1">
      <c r="A16" s="5">
        <f t="shared" si="14"/>
        <v>14</v>
      </c>
      <c r="B16" s="5">
        <f>Ranking!G20</f>
        <v>40153</v>
      </c>
      <c r="C16" s="5" t="str">
        <f>Ranking!H20</f>
        <v>GIE-35</v>
      </c>
      <c r="D16" s="5">
        <f>Ranking!I20</f>
        <v>35.869999999999997</v>
      </c>
      <c r="E16" s="5">
        <f t="shared" si="0"/>
        <v>64.739999999999995</v>
      </c>
      <c r="I16" s="5">
        <f t="shared" si="1"/>
        <v>6</v>
      </c>
      <c r="J16" s="5">
        <f t="shared" si="1"/>
        <v>8</v>
      </c>
      <c r="K16" s="5">
        <f t="shared" si="1"/>
        <v>4</v>
      </c>
      <c r="L16" s="5">
        <f t="shared" si="2"/>
        <v>68435</v>
      </c>
      <c r="M16" s="5">
        <f t="shared" si="15"/>
        <v>52884</v>
      </c>
      <c r="N16" s="5">
        <f t="shared" si="3"/>
        <v>24</v>
      </c>
      <c r="O16" s="5" t="str">
        <f t="shared" ca="1" si="4"/>
        <v>FCI-84</v>
      </c>
      <c r="P16" s="5">
        <f t="shared" ca="1" si="5"/>
        <v>65.099999999999994</v>
      </c>
      <c r="Q16" s="5">
        <f t="shared" si="16"/>
        <v>40192</v>
      </c>
      <c r="R16" s="5">
        <f t="shared" si="6"/>
        <v>9</v>
      </c>
      <c r="S16" s="5">
        <f t="shared" ca="1" si="7"/>
        <v>40192</v>
      </c>
      <c r="T16" s="5">
        <f t="shared" ca="1" si="8"/>
        <v>79.88</v>
      </c>
      <c r="U16" s="5">
        <f t="shared" si="17"/>
        <v>64.739999999999995</v>
      </c>
      <c r="V16" s="5">
        <f t="shared" si="9"/>
        <v>12</v>
      </c>
      <c r="W16" s="5" t="str">
        <f t="shared" ca="1" si="10"/>
        <v>ICC-26</v>
      </c>
      <c r="X16" s="5">
        <f t="shared" ca="1" si="11"/>
        <v>64.739999999999995</v>
      </c>
      <c r="Z16" s="5" t="str">
        <f t="shared" ca="1" si="12"/>
        <v>FCI-84</v>
      </c>
      <c r="AA16" s="5">
        <f t="shared" ca="1" si="13"/>
        <v>65.099999999999994</v>
      </c>
    </row>
    <row r="17" spans="1:27" s="5" customFormat="1">
      <c r="A17" s="5">
        <f t="shared" si="14"/>
        <v>15</v>
      </c>
      <c r="B17" s="5">
        <f>Ranking!G21</f>
        <v>40187</v>
      </c>
      <c r="C17" s="5" t="str">
        <f>Ranking!H21</f>
        <v>CAA-60</v>
      </c>
      <c r="D17" s="5">
        <f>Ranking!I21</f>
        <v>14.07</v>
      </c>
      <c r="E17" s="5">
        <f t="shared" si="0"/>
        <v>58.66</v>
      </c>
      <c r="I17" s="5">
        <f t="shared" si="1"/>
        <v>2</v>
      </c>
      <c r="J17" s="5">
        <f t="shared" si="1"/>
        <v>0</v>
      </c>
      <c r="K17" s="5">
        <f t="shared" si="1"/>
        <v>0</v>
      </c>
      <c r="L17" s="5">
        <f t="shared" si="2"/>
        <v>20060</v>
      </c>
      <c r="M17" s="5">
        <f t="shared" si="15"/>
        <v>54317</v>
      </c>
      <c r="N17" s="5">
        <f t="shared" si="3"/>
        <v>7</v>
      </c>
      <c r="O17" s="5" t="str">
        <f t="shared" ca="1" si="4"/>
        <v>FED-17</v>
      </c>
      <c r="P17" s="5">
        <f t="shared" ca="1" si="5"/>
        <v>69.58</v>
      </c>
      <c r="Q17" s="5">
        <f t="shared" si="16"/>
        <v>40194</v>
      </c>
      <c r="R17" s="5">
        <f t="shared" si="6"/>
        <v>23</v>
      </c>
      <c r="S17" s="5">
        <f t="shared" ca="1" si="7"/>
        <v>40194</v>
      </c>
      <c r="T17" s="5">
        <f t="shared" ca="1" si="8"/>
        <v>45.08</v>
      </c>
      <c r="U17" s="5">
        <f t="shared" si="17"/>
        <v>65.099999999999994</v>
      </c>
      <c r="V17" s="5">
        <f t="shared" si="9"/>
        <v>24</v>
      </c>
      <c r="W17" s="5" t="str">
        <f t="shared" ca="1" si="10"/>
        <v>FCI-84</v>
      </c>
      <c r="X17" s="5">
        <f t="shared" ca="1" si="11"/>
        <v>65.099999999999994</v>
      </c>
      <c r="Z17" s="5" t="str">
        <f t="shared" ca="1" si="12"/>
        <v>FED-17</v>
      </c>
      <c r="AA17" s="5">
        <f t="shared" ca="1" si="13"/>
        <v>69.58</v>
      </c>
    </row>
    <row r="18" spans="1:27" s="5" customFormat="1">
      <c r="A18" s="5">
        <f t="shared" si="14"/>
        <v>16</v>
      </c>
      <c r="B18" s="5">
        <f>Ranking!G22</f>
        <v>40221</v>
      </c>
      <c r="C18" s="5" t="str">
        <f>Ranking!H22</f>
        <v>CJF-32</v>
      </c>
      <c r="D18" s="5">
        <f>Ranking!I22</f>
        <v>44.01</v>
      </c>
      <c r="E18" s="5">
        <f t="shared" si="0"/>
        <v>52.75</v>
      </c>
      <c r="I18" s="5">
        <f t="shared" si="1"/>
        <v>2</v>
      </c>
      <c r="J18" s="5">
        <f t="shared" si="1"/>
        <v>9</v>
      </c>
      <c r="K18" s="5">
        <f t="shared" si="1"/>
        <v>5</v>
      </c>
      <c r="L18" s="5">
        <f t="shared" si="2"/>
        <v>29532</v>
      </c>
      <c r="M18" s="5">
        <f t="shared" si="15"/>
        <v>55137</v>
      </c>
      <c r="N18" s="5">
        <f t="shared" si="3"/>
        <v>22</v>
      </c>
      <c r="O18" s="5" t="str">
        <f t="shared" ca="1" si="4"/>
        <v>FFB-37</v>
      </c>
      <c r="P18" s="5">
        <f t="shared" ca="1" si="5"/>
        <v>77.52</v>
      </c>
      <c r="Q18" s="5">
        <f t="shared" si="16"/>
        <v>40201</v>
      </c>
      <c r="R18" s="5">
        <f t="shared" si="6"/>
        <v>4</v>
      </c>
      <c r="S18" s="5">
        <f t="shared" ca="1" si="7"/>
        <v>40201</v>
      </c>
      <c r="T18" s="5">
        <f t="shared" ca="1" si="8"/>
        <v>2.2999999999999998</v>
      </c>
      <c r="U18" s="5">
        <f t="shared" si="17"/>
        <v>68.98</v>
      </c>
      <c r="V18" s="5">
        <f t="shared" si="9"/>
        <v>10</v>
      </c>
      <c r="W18" s="5" t="str">
        <f t="shared" ca="1" si="10"/>
        <v>EAD-53</v>
      </c>
      <c r="X18" s="5">
        <f t="shared" ca="1" si="11"/>
        <v>68.98</v>
      </c>
      <c r="Z18" s="5" t="str">
        <f t="shared" ca="1" si="12"/>
        <v>FFB-37</v>
      </c>
      <c r="AA18" s="5">
        <f t="shared" ca="1" si="13"/>
        <v>77.52</v>
      </c>
    </row>
    <row r="19" spans="1:27" s="5" customFormat="1">
      <c r="A19" s="5">
        <f t="shared" si="14"/>
        <v>17</v>
      </c>
      <c r="B19" s="5">
        <f>Ranking!G23</f>
        <v>40219</v>
      </c>
      <c r="C19" s="5" t="str">
        <f>Ranking!H23</f>
        <v>EGE-33</v>
      </c>
      <c r="D19" s="5">
        <f>Ranking!I23</f>
        <v>91.38</v>
      </c>
      <c r="E19" s="5">
        <f t="shared" si="0"/>
        <v>49.96</v>
      </c>
      <c r="I19" s="5">
        <f t="shared" si="1"/>
        <v>4</v>
      </c>
      <c r="J19" s="5">
        <f t="shared" si="1"/>
        <v>6</v>
      </c>
      <c r="K19" s="5">
        <f t="shared" si="1"/>
        <v>4</v>
      </c>
      <c r="L19" s="5">
        <f t="shared" si="2"/>
        <v>46433</v>
      </c>
      <c r="M19" s="5">
        <f t="shared" si="15"/>
        <v>56328</v>
      </c>
      <c r="N19" s="5">
        <f t="shared" si="3"/>
        <v>8</v>
      </c>
      <c r="O19" s="5" t="str">
        <f t="shared" ca="1" si="4"/>
        <v>FGD-28</v>
      </c>
      <c r="P19" s="5">
        <f t="shared" ca="1" si="5"/>
        <v>28.15</v>
      </c>
      <c r="Q19" s="5">
        <f t="shared" si="16"/>
        <v>40213</v>
      </c>
      <c r="R19" s="5">
        <f t="shared" si="6"/>
        <v>3</v>
      </c>
      <c r="S19" s="5">
        <f t="shared" ca="1" si="7"/>
        <v>40213</v>
      </c>
      <c r="T19" s="5">
        <f t="shared" ca="1" si="8"/>
        <v>83.02</v>
      </c>
      <c r="U19" s="5">
        <f t="shared" si="17"/>
        <v>69.58</v>
      </c>
      <c r="V19" s="5">
        <f t="shared" si="9"/>
        <v>7</v>
      </c>
      <c r="W19" s="5" t="str">
        <f t="shared" ca="1" si="10"/>
        <v>FED-17</v>
      </c>
      <c r="X19" s="5">
        <f t="shared" ca="1" si="11"/>
        <v>69.58</v>
      </c>
      <c r="Z19" s="5" t="str">
        <f t="shared" ca="1" si="12"/>
        <v>FGD-28</v>
      </c>
      <c r="AA19" s="5">
        <f t="shared" ca="1" si="13"/>
        <v>28.15</v>
      </c>
    </row>
    <row r="20" spans="1:27" s="5" customFormat="1">
      <c r="A20" s="5">
        <f t="shared" si="14"/>
        <v>18</v>
      </c>
      <c r="B20" s="5">
        <f>Ranking!G24</f>
        <v>40184</v>
      </c>
      <c r="C20" s="5" t="str">
        <f>Ranking!H24</f>
        <v>ACD-74</v>
      </c>
      <c r="D20" s="5">
        <f>Ranking!I24</f>
        <v>81.849999999999994</v>
      </c>
      <c r="E20" s="5">
        <f t="shared" si="0"/>
        <v>45.08</v>
      </c>
      <c r="I20" s="5">
        <f t="shared" si="1"/>
        <v>0</v>
      </c>
      <c r="J20" s="5">
        <f t="shared" si="1"/>
        <v>2</v>
      </c>
      <c r="K20" s="5">
        <f t="shared" si="1"/>
        <v>3</v>
      </c>
      <c r="L20" s="5">
        <f t="shared" si="2"/>
        <v>2374</v>
      </c>
      <c r="M20" s="5">
        <f t="shared" si="15"/>
        <v>68435</v>
      </c>
      <c r="N20" s="5">
        <f t="shared" si="3"/>
        <v>14</v>
      </c>
      <c r="O20" s="5" t="str">
        <f t="shared" ca="1" si="4"/>
        <v>GIE-35</v>
      </c>
      <c r="P20" s="5">
        <f t="shared" ca="1" si="5"/>
        <v>35.869999999999997</v>
      </c>
      <c r="Q20" s="5">
        <f t="shared" si="16"/>
        <v>40218</v>
      </c>
      <c r="R20" s="5">
        <f t="shared" si="6"/>
        <v>26</v>
      </c>
      <c r="S20" s="5">
        <f t="shared" ca="1" si="7"/>
        <v>40218</v>
      </c>
      <c r="T20" s="5">
        <f t="shared" ca="1" si="8"/>
        <v>87.32</v>
      </c>
      <c r="U20" s="5">
        <f t="shared" si="17"/>
        <v>77.52</v>
      </c>
      <c r="V20" s="5">
        <f t="shared" si="9"/>
        <v>22</v>
      </c>
      <c r="W20" s="5" t="str">
        <f t="shared" ca="1" si="10"/>
        <v>FFB-37</v>
      </c>
      <c r="X20" s="5">
        <f t="shared" ca="1" si="11"/>
        <v>77.52</v>
      </c>
      <c r="Z20" s="5" t="str">
        <f t="shared" ca="1" si="12"/>
        <v>GIE-35</v>
      </c>
      <c r="AA20" s="5">
        <f t="shared" ca="1" si="13"/>
        <v>35.869999999999997</v>
      </c>
    </row>
    <row r="21" spans="1:27" s="5" customFormat="1">
      <c r="A21" s="5">
        <f t="shared" si="14"/>
        <v>19</v>
      </c>
      <c r="B21" s="5">
        <f>Ranking!K16</f>
        <v>40151</v>
      </c>
      <c r="C21" s="5" t="str">
        <f>Ranking!L16</f>
        <v>BIC-30</v>
      </c>
      <c r="D21" s="5">
        <f>Ranking!M16</f>
        <v>94.54</v>
      </c>
      <c r="E21" s="5">
        <f t="shared" si="0"/>
        <v>44.01</v>
      </c>
      <c r="I21" s="5">
        <f t="shared" si="1"/>
        <v>1</v>
      </c>
      <c r="J21" s="5">
        <f t="shared" si="1"/>
        <v>8</v>
      </c>
      <c r="K21" s="5">
        <f t="shared" si="1"/>
        <v>2</v>
      </c>
      <c r="L21" s="5">
        <f t="shared" si="2"/>
        <v>18230</v>
      </c>
      <c r="M21" s="5">
        <f t="shared" si="15"/>
        <v>72633</v>
      </c>
      <c r="N21" s="5">
        <f t="shared" si="3"/>
        <v>27</v>
      </c>
      <c r="O21" s="5" t="str">
        <f t="shared" ca="1" si="4"/>
        <v>HCG-33</v>
      </c>
      <c r="P21" s="5">
        <f t="shared" ca="1" si="5"/>
        <v>88.07</v>
      </c>
      <c r="Q21" s="5">
        <f t="shared" si="16"/>
        <v>40219</v>
      </c>
      <c r="R21" s="5">
        <f t="shared" si="6"/>
        <v>17</v>
      </c>
      <c r="S21" s="5">
        <f t="shared" ca="1" si="7"/>
        <v>40219</v>
      </c>
      <c r="T21" s="5">
        <f t="shared" ca="1" si="8"/>
        <v>91.38</v>
      </c>
      <c r="U21" s="5">
        <f t="shared" si="17"/>
        <v>79.88</v>
      </c>
      <c r="V21" s="5">
        <f t="shared" si="9"/>
        <v>9</v>
      </c>
      <c r="W21" s="5" t="str">
        <f t="shared" ca="1" si="10"/>
        <v>EID-69</v>
      </c>
      <c r="X21" s="5">
        <f t="shared" ca="1" si="11"/>
        <v>79.88</v>
      </c>
      <c r="Z21" s="5" t="str">
        <f t="shared" ca="1" si="12"/>
        <v>HCG-33</v>
      </c>
      <c r="AA21" s="5">
        <f t="shared" ca="1" si="13"/>
        <v>88.07</v>
      </c>
    </row>
    <row r="22" spans="1:27" s="5" customFormat="1">
      <c r="A22" s="5">
        <f t="shared" si="14"/>
        <v>20</v>
      </c>
      <c r="B22" s="5">
        <f>Ranking!K17</f>
        <v>40190</v>
      </c>
      <c r="C22" s="5" t="str">
        <f>Ranking!L17</f>
        <v>AHG-81</v>
      </c>
      <c r="D22" s="5">
        <f>Ranking!M17</f>
        <v>89.01</v>
      </c>
      <c r="E22" s="5">
        <f t="shared" si="0"/>
        <v>36.74</v>
      </c>
      <c r="I22" s="5">
        <f t="shared" si="1"/>
        <v>0</v>
      </c>
      <c r="J22" s="5">
        <f t="shared" si="1"/>
        <v>7</v>
      </c>
      <c r="K22" s="5">
        <f t="shared" si="1"/>
        <v>6</v>
      </c>
      <c r="L22" s="5">
        <f t="shared" si="2"/>
        <v>7681</v>
      </c>
      <c r="M22" s="5">
        <f t="shared" si="15"/>
        <v>74961</v>
      </c>
      <c r="N22" s="5">
        <f t="shared" si="3"/>
        <v>2</v>
      </c>
      <c r="O22" s="5" t="str">
        <f t="shared" ca="1" si="4"/>
        <v>HEJ-61</v>
      </c>
      <c r="P22" s="5">
        <f t="shared" ca="1" si="5"/>
        <v>3.92</v>
      </c>
      <c r="Q22" s="5">
        <f t="shared" si="16"/>
        <v>40220</v>
      </c>
      <c r="R22" s="5">
        <f t="shared" si="6"/>
        <v>5</v>
      </c>
      <c r="S22" s="5">
        <f t="shared" ca="1" si="7"/>
        <v>40220</v>
      </c>
      <c r="T22" s="5">
        <f t="shared" ca="1" si="8"/>
        <v>24.06</v>
      </c>
      <c r="U22" s="5">
        <f t="shared" si="17"/>
        <v>80.930000000000007</v>
      </c>
      <c r="V22" s="5">
        <f t="shared" si="9"/>
        <v>6</v>
      </c>
      <c r="W22" s="5" t="str">
        <f t="shared" ca="1" si="10"/>
        <v>ADC-58</v>
      </c>
      <c r="X22" s="5">
        <f t="shared" ca="1" si="11"/>
        <v>80.930000000000007</v>
      </c>
      <c r="Z22" s="5" t="str">
        <f t="shared" ca="1" si="12"/>
        <v>HEJ-61</v>
      </c>
      <c r="AA22" s="5">
        <f t="shared" ca="1" si="13"/>
        <v>3.92</v>
      </c>
    </row>
    <row r="23" spans="1:27" s="5" customFormat="1">
      <c r="A23" s="5">
        <f t="shared" si="14"/>
        <v>21</v>
      </c>
      <c r="B23" s="5">
        <f>Ranking!K18</f>
        <v>40231</v>
      </c>
      <c r="C23" s="5" t="str">
        <f>Ranking!L18</f>
        <v>JHC-24</v>
      </c>
      <c r="D23" s="5">
        <f>Ranking!M18</f>
        <v>49.96</v>
      </c>
      <c r="E23" s="5">
        <f t="shared" si="0"/>
        <v>35.869999999999997</v>
      </c>
      <c r="I23" s="5">
        <f t="shared" si="1"/>
        <v>9</v>
      </c>
      <c r="J23" s="5">
        <f t="shared" si="1"/>
        <v>7</v>
      </c>
      <c r="K23" s="5">
        <f t="shared" si="1"/>
        <v>2</v>
      </c>
      <c r="L23" s="5">
        <f t="shared" si="2"/>
        <v>97224</v>
      </c>
      <c r="M23" s="5">
        <f t="shared" si="15"/>
        <v>75590</v>
      </c>
      <c r="N23" s="5">
        <f t="shared" si="3"/>
        <v>11</v>
      </c>
      <c r="O23" s="5" t="str">
        <f t="shared" ca="1" si="4"/>
        <v>HFF-90</v>
      </c>
      <c r="P23" s="5">
        <f t="shared" ca="1" si="5"/>
        <v>25.93</v>
      </c>
      <c r="Q23" s="5">
        <f t="shared" si="16"/>
        <v>40221</v>
      </c>
      <c r="R23" s="5">
        <f t="shared" si="6"/>
        <v>16</v>
      </c>
      <c r="S23" s="5">
        <f t="shared" ca="1" si="7"/>
        <v>40221</v>
      </c>
      <c r="T23" s="5">
        <f t="shared" ca="1" si="8"/>
        <v>44.01</v>
      </c>
      <c r="U23" s="5">
        <f t="shared" si="17"/>
        <v>81.849999999999994</v>
      </c>
      <c r="V23" s="5">
        <f t="shared" si="9"/>
        <v>18</v>
      </c>
      <c r="W23" s="5" t="str">
        <f t="shared" ca="1" si="10"/>
        <v>ACD-74</v>
      </c>
      <c r="X23" s="5">
        <f t="shared" ca="1" si="11"/>
        <v>81.849999999999994</v>
      </c>
      <c r="Z23" s="5" t="str">
        <f t="shared" ca="1" si="12"/>
        <v>HFF-90</v>
      </c>
      <c r="AA23" s="5">
        <f t="shared" ca="1" si="13"/>
        <v>25.93</v>
      </c>
    </row>
    <row r="24" spans="1:27" s="5" customFormat="1">
      <c r="A24" s="5">
        <f t="shared" si="14"/>
        <v>22</v>
      </c>
      <c r="B24" s="5">
        <f>Ranking!K19</f>
        <v>40232</v>
      </c>
      <c r="C24" s="5" t="str">
        <f>Ranking!L19</f>
        <v>FFB-37</v>
      </c>
      <c r="D24" s="5">
        <f>Ranking!M19</f>
        <v>77.52</v>
      </c>
      <c r="E24" s="5">
        <f t="shared" si="0"/>
        <v>28.15</v>
      </c>
      <c r="I24" s="5">
        <f t="shared" si="1"/>
        <v>5</v>
      </c>
      <c r="J24" s="5">
        <f t="shared" si="1"/>
        <v>5</v>
      </c>
      <c r="K24" s="5">
        <f t="shared" si="1"/>
        <v>1</v>
      </c>
      <c r="L24" s="5">
        <f t="shared" si="2"/>
        <v>55137</v>
      </c>
      <c r="M24" s="5">
        <f t="shared" si="15"/>
        <v>76398</v>
      </c>
      <c r="N24" s="5">
        <f t="shared" si="3"/>
        <v>4</v>
      </c>
      <c r="O24" s="5" t="str">
        <f t="shared" ca="1" si="4"/>
        <v>HGD-98</v>
      </c>
      <c r="P24" s="5">
        <f t="shared" ca="1" si="5"/>
        <v>2.2999999999999998</v>
      </c>
      <c r="Q24" s="5">
        <f t="shared" si="16"/>
        <v>40222</v>
      </c>
      <c r="R24" s="5">
        <f t="shared" si="6"/>
        <v>25</v>
      </c>
      <c r="S24" s="5">
        <f t="shared" ca="1" si="7"/>
        <v>40222</v>
      </c>
      <c r="T24" s="5">
        <f t="shared" ca="1" si="8"/>
        <v>58.66</v>
      </c>
      <c r="U24" s="5">
        <f t="shared" si="17"/>
        <v>83.02</v>
      </c>
      <c r="V24" s="5">
        <f t="shared" si="9"/>
        <v>3</v>
      </c>
      <c r="W24" s="5" t="str">
        <f t="shared" ca="1" si="10"/>
        <v>JFG-72</v>
      </c>
      <c r="X24" s="5">
        <f t="shared" ca="1" si="11"/>
        <v>83.02</v>
      </c>
      <c r="Z24" s="5" t="str">
        <f t="shared" ca="1" si="12"/>
        <v>HGD-98</v>
      </c>
      <c r="AA24" s="5">
        <f t="shared" ca="1" si="13"/>
        <v>2.2999999999999998</v>
      </c>
    </row>
    <row r="25" spans="1:27" s="5" customFormat="1">
      <c r="A25" s="5">
        <f t="shared" si="14"/>
        <v>23</v>
      </c>
      <c r="B25" s="5">
        <f>Ranking!K20</f>
        <v>40194</v>
      </c>
      <c r="C25" s="5" t="str">
        <f>Ranking!L20</f>
        <v>CGJ-33</v>
      </c>
      <c r="D25" s="5">
        <f>Ranking!M20</f>
        <v>45.08</v>
      </c>
      <c r="E25" s="5">
        <f t="shared" si="0"/>
        <v>25.93</v>
      </c>
      <c r="I25" s="5">
        <f t="shared" si="1"/>
        <v>2</v>
      </c>
      <c r="J25" s="5">
        <f t="shared" si="1"/>
        <v>6</v>
      </c>
      <c r="K25" s="5">
        <f t="shared" si="1"/>
        <v>9</v>
      </c>
      <c r="L25" s="5">
        <f t="shared" si="2"/>
        <v>26933</v>
      </c>
      <c r="M25" s="5">
        <f t="shared" si="15"/>
        <v>77497</v>
      </c>
      <c r="N25" s="5">
        <f t="shared" si="3"/>
        <v>25</v>
      </c>
      <c r="O25" s="5" t="str">
        <f t="shared" ca="1" si="4"/>
        <v>HHE-97</v>
      </c>
      <c r="P25" s="5">
        <f t="shared" ca="1" si="5"/>
        <v>58.66</v>
      </c>
      <c r="Q25" s="5">
        <f t="shared" si="16"/>
        <v>40231</v>
      </c>
      <c r="R25" s="5">
        <f t="shared" si="6"/>
        <v>21</v>
      </c>
      <c r="S25" s="5">
        <f t="shared" ca="1" si="7"/>
        <v>40231</v>
      </c>
      <c r="T25" s="5">
        <f t="shared" ca="1" si="8"/>
        <v>49.96</v>
      </c>
      <c r="U25" s="5">
        <f t="shared" si="17"/>
        <v>87.32</v>
      </c>
      <c r="V25" s="5">
        <f t="shared" si="9"/>
        <v>26</v>
      </c>
      <c r="W25" s="5" t="str">
        <f t="shared" ca="1" si="10"/>
        <v>ABD-80</v>
      </c>
      <c r="X25" s="5">
        <f t="shared" ca="1" si="11"/>
        <v>87.32</v>
      </c>
      <c r="Z25" s="5" t="str">
        <f t="shared" ca="1" si="12"/>
        <v>HHE-97</v>
      </c>
      <c r="AA25" s="5">
        <f t="shared" ca="1" si="13"/>
        <v>58.66</v>
      </c>
    </row>
    <row r="26" spans="1:27" s="5" customFormat="1">
      <c r="A26" s="5">
        <f t="shared" si="14"/>
        <v>24</v>
      </c>
      <c r="B26" s="5">
        <f>Ranking!K21</f>
        <v>40169</v>
      </c>
      <c r="C26" s="5" t="str">
        <f>Ranking!L21</f>
        <v>FCI-84</v>
      </c>
      <c r="D26" s="5">
        <f>Ranking!M21</f>
        <v>65.099999999999994</v>
      </c>
      <c r="E26" s="5">
        <f t="shared" si="0"/>
        <v>24.06</v>
      </c>
      <c r="I26" s="5">
        <f t="shared" si="1"/>
        <v>5</v>
      </c>
      <c r="J26" s="5">
        <f t="shared" si="1"/>
        <v>2</v>
      </c>
      <c r="K26" s="5">
        <f t="shared" si="1"/>
        <v>8</v>
      </c>
      <c r="L26" s="5">
        <f t="shared" si="2"/>
        <v>52884</v>
      </c>
      <c r="M26" s="5">
        <f t="shared" si="15"/>
        <v>82226</v>
      </c>
      <c r="N26" s="5">
        <f t="shared" si="3"/>
        <v>12</v>
      </c>
      <c r="O26" s="5" t="str">
        <f t="shared" ca="1" si="4"/>
        <v>ICC-26</v>
      </c>
      <c r="P26" s="5">
        <f t="shared" ca="1" si="5"/>
        <v>64.739999999999995</v>
      </c>
      <c r="Q26" s="5">
        <f t="shared" si="16"/>
        <v>40232</v>
      </c>
      <c r="R26" s="5">
        <f t="shared" si="6"/>
        <v>22</v>
      </c>
      <c r="S26" s="5">
        <f t="shared" ca="1" si="7"/>
        <v>40232</v>
      </c>
      <c r="T26" s="5">
        <f t="shared" ca="1" si="8"/>
        <v>77.52</v>
      </c>
      <c r="U26" s="5">
        <f t="shared" si="17"/>
        <v>88.07</v>
      </c>
      <c r="V26" s="5">
        <f t="shared" si="9"/>
        <v>27</v>
      </c>
      <c r="W26" s="5" t="str">
        <f t="shared" ca="1" si="10"/>
        <v>HCG-33</v>
      </c>
      <c r="X26" s="5">
        <f t="shared" ca="1" si="11"/>
        <v>88.07</v>
      </c>
      <c r="Z26" s="5" t="str">
        <f t="shared" ca="1" si="12"/>
        <v>ICC-26</v>
      </c>
      <c r="AA26" s="5">
        <f t="shared" ca="1" si="13"/>
        <v>64.739999999999995</v>
      </c>
    </row>
    <row r="27" spans="1:27" s="5" customFormat="1">
      <c r="A27" s="5">
        <f t="shared" si="14"/>
        <v>25</v>
      </c>
      <c r="B27" s="5">
        <f>Ranking!K22</f>
        <v>40222</v>
      </c>
      <c r="C27" s="5" t="str">
        <f>Ranking!L22</f>
        <v>HHE-97</v>
      </c>
      <c r="D27" s="5">
        <f>Ranking!M22</f>
        <v>58.66</v>
      </c>
      <c r="E27" s="5">
        <f t="shared" si="0"/>
        <v>14.07</v>
      </c>
      <c r="I27" s="5">
        <f t="shared" si="1"/>
        <v>7</v>
      </c>
      <c r="J27" s="5">
        <f t="shared" si="1"/>
        <v>7</v>
      </c>
      <c r="K27" s="5">
        <f t="shared" si="1"/>
        <v>4</v>
      </c>
      <c r="L27" s="5">
        <f t="shared" si="2"/>
        <v>77497</v>
      </c>
      <c r="M27" s="5">
        <f t="shared" si="15"/>
        <v>87425</v>
      </c>
      <c r="N27" s="5">
        <f t="shared" si="3"/>
        <v>13</v>
      </c>
      <c r="O27" s="5" t="str">
        <f t="shared" ca="1" si="4"/>
        <v>IHE-25</v>
      </c>
      <c r="P27" s="5">
        <f t="shared" ca="1" si="5"/>
        <v>52.75</v>
      </c>
      <c r="Q27" s="5">
        <f t="shared" si="16"/>
        <v>40233</v>
      </c>
      <c r="R27" s="5">
        <f t="shared" si="6"/>
        <v>6</v>
      </c>
      <c r="S27" s="5">
        <f t="shared" ca="1" si="7"/>
        <v>40233</v>
      </c>
      <c r="T27" s="5">
        <f t="shared" ca="1" si="8"/>
        <v>80.930000000000007</v>
      </c>
      <c r="U27" s="5">
        <f t="shared" si="17"/>
        <v>89.01</v>
      </c>
      <c r="V27" s="5">
        <f t="shared" si="9"/>
        <v>20</v>
      </c>
      <c r="W27" s="5" t="str">
        <f t="shared" ca="1" si="10"/>
        <v>AHG-81</v>
      </c>
      <c r="X27" s="5">
        <f t="shared" ca="1" si="11"/>
        <v>89.01</v>
      </c>
      <c r="Z27" s="5" t="str">
        <f t="shared" ca="1" si="12"/>
        <v>IHE-25</v>
      </c>
      <c r="AA27" s="5">
        <f t="shared" ca="1" si="13"/>
        <v>52.75</v>
      </c>
    </row>
    <row r="28" spans="1:27" s="5" customFormat="1">
      <c r="A28" s="5">
        <f t="shared" si="14"/>
        <v>26</v>
      </c>
      <c r="B28" s="5">
        <f>Ranking!K23</f>
        <v>40218</v>
      </c>
      <c r="C28" s="5" t="str">
        <f>Ranking!L23</f>
        <v>ABD-80</v>
      </c>
      <c r="D28" s="5">
        <f>Ranking!M23</f>
        <v>87.32</v>
      </c>
      <c r="E28" s="5">
        <f t="shared" si="0"/>
        <v>3.92</v>
      </c>
      <c r="I28" s="5">
        <f t="shared" si="1"/>
        <v>0</v>
      </c>
      <c r="J28" s="5">
        <f t="shared" si="1"/>
        <v>1</v>
      </c>
      <c r="K28" s="5">
        <f t="shared" si="1"/>
        <v>3</v>
      </c>
      <c r="L28" s="5">
        <f t="shared" si="2"/>
        <v>1380</v>
      </c>
      <c r="M28" s="5">
        <f t="shared" si="15"/>
        <v>95672</v>
      </c>
      <c r="N28" s="5">
        <f t="shared" si="3"/>
        <v>3</v>
      </c>
      <c r="O28" s="5" t="str">
        <f t="shared" ca="1" si="4"/>
        <v>JFG-72</v>
      </c>
      <c r="P28" s="5">
        <f t="shared" ca="1" si="5"/>
        <v>83.02</v>
      </c>
      <c r="Q28" s="5">
        <f t="shared" si="16"/>
        <v>40234</v>
      </c>
      <c r="R28" s="5">
        <f t="shared" si="6"/>
        <v>12</v>
      </c>
      <c r="S28" s="5">
        <f t="shared" ca="1" si="7"/>
        <v>40234</v>
      </c>
      <c r="T28" s="5">
        <f t="shared" ca="1" si="8"/>
        <v>64.739999999999995</v>
      </c>
      <c r="U28" s="5">
        <f t="shared" si="17"/>
        <v>91.38</v>
      </c>
      <c r="V28" s="5">
        <f t="shared" si="9"/>
        <v>17</v>
      </c>
      <c r="W28" s="5" t="str">
        <f t="shared" ca="1" si="10"/>
        <v>EGE-33</v>
      </c>
      <c r="X28" s="5">
        <f t="shared" ca="1" si="11"/>
        <v>91.38</v>
      </c>
      <c r="Z28" s="5" t="str">
        <f t="shared" ca="1" si="12"/>
        <v>JFG-72</v>
      </c>
      <c r="AA28" s="5">
        <f t="shared" ca="1" si="13"/>
        <v>83.02</v>
      </c>
    </row>
    <row r="29" spans="1:27" s="5" customFormat="1">
      <c r="A29" s="5">
        <f t="shared" si="14"/>
        <v>27</v>
      </c>
      <c r="B29" s="5">
        <f>Ranking!K24</f>
        <v>40168</v>
      </c>
      <c r="C29" s="5" t="str">
        <f>Ranking!L24</f>
        <v>HCG-33</v>
      </c>
      <c r="D29" s="5">
        <f>Ranking!M24</f>
        <v>88.07</v>
      </c>
      <c r="E29" s="5">
        <f t="shared" si="0"/>
        <v>2.2999999999999998</v>
      </c>
      <c r="I29" s="5">
        <f t="shared" si="1"/>
        <v>7</v>
      </c>
      <c r="J29" s="5">
        <f t="shared" si="1"/>
        <v>2</v>
      </c>
      <c r="K29" s="5">
        <f t="shared" si="1"/>
        <v>6</v>
      </c>
      <c r="L29" s="5">
        <f t="shared" si="2"/>
        <v>72633</v>
      </c>
      <c r="M29" s="5">
        <f t="shared" si="15"/>
        <v>97224</v>
      </c>
      <c r="N29" s="5">
        <f t="shared" si="3"/>
        <v>21</v>
      </c>
      <c r="O29" s="5" t="str">
        <f t="shared" ca="1" si="4"/>
        <v>JHC-24</v>
      </c>
      <c r="P29" s="5">
        <f t="shared" ca="1" si="5"/>
        <v>49.96</v>
      </c>
      <c r="Q29" s="5">
        <f t="shared" si="16"/>
        <v>40235</v>
      </c>
      <c r="R29" s="5">
        <f t="shared" si="6"/>
        <v>11</v>
      </c>
      <c r="S29" s="5">
        <f t="shared" ca="1" si="7"/>
        <v>40235</v>
      </c>
      <c r="T29" s="5">
        <f t="shared" ca="1" si="8"/>
        <v>25.93</v>
      </c>
      <c r="U29" s="5">
        <f t="shared" si="17"/>
        <v>94.54</v>
      </c>
      <c r="V29" s="5">
        <f t="shared" si="9"/>
        <v>19</v>
      </c>
      <c r="W29" s="5" t="str">
        <f t="shared" ca="1" si="10"/>
        <v>BIC-30</v>
      </c>
      <c r="X29" s="5">
        <f t="shared" ca="1" si="11"/>
        <v>94.54</v>
      </c>
      <c r="Z29" s="5" t="str">
        <f t="shared" ca="1" si="12"/>
        <v>JHC-24</v>
      </c>
      <c r="AA29" s="5">
        <f t="shared" ca="1" si="13"/>
        <v>49.96</v>
      </c>
    </row>
  </sheetData>
  <sheetProtection algorithmName="SHA-512" hashValue="BohYJ183XHVtckb2GUIUxlvm2ioMkHsqEc84wOAn/wYtb2cdgNYFE8igSq4xLQqzwUYGZLFvZYtOJPIPY6hvxA==" saltValue="0OOoD8iPs3jEIsm3pFrTBQ==" spinCount="100000" sheet="1" objects="1" scenarios="1"/>
  <mergeCells count="2">
    <mergeCell ref="Q1:T1"/>
    <mergeCell ref="U1:X1"/>
  </mergeCells>
  <phoneticPr fontId="2" type="noConversion"/>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5">
    <pageSetUpPr fitToPage="1"/>
  </sheetPr>
  <dimension ref="C1:M40"/>
  <sheetViews>
    <sheetView showGridLines="0" showRowColHeaders="0" topLeftCell="A31" workbookViewId="0">
      <selection activeCell="E39" sqref="E39:I39"/>
    </sheetView>
  </sheetViews>
  <sheetFormatPr defaultColWidth="0" defaultRowHeight="12.5" zeroHeight="1"/>
  <cols>
    <col min="1" max="2" width="1" style="32" customWidth="1"/>
    <col min="3" max="3" width="9" style="32" customWidth="1"/>
    <col min="4" max="4" width="20.54296875" style="32" customWidth="1"/>
    <col min="5" max="5" width="21.1796875" style="32" customWidth="1"/>
    <col min="6" max="6" width="8.1796875" style="32" customWidth="1"/>
    <col min="7" max="7" width="8.7265625" style="32" customWidth="1"/>
    <col min="8" max="8" width="2.453125" style="32" customWidth="1"/>
    <col min="9" max="9" width="7.1796875" style="32" customWidth="1"/>
    <col min="10" max="10" width="11" style="32" customWidth="1"/>
    <col min="11" max="12" width="11.1796875" style="32" customWidth="1"/>
    <col min="13" max="13" width="8.453125" style="32" customWidth="1"/>
    <col min="14" max="14" width="1.81640625" style="32" customWidth="1"/>
    <col min="15" max="16384" width="0" style="32" hidden="1"/>
  </cols>
  <sheetData>
    <row r="1" spans="3:13"/>
    <row r="2" spans="3:13">
      <c r="C2" s="103"/>
      <c r="D2" s="103"/>
      <c r="E2" s="103"/>
      <c r="F2" s="103"/>
      <c r="G2" s="103"/>
      <c r="H2" s="103"/>
      <c r="I2" s="103"/>
      <c r="J2" s="103"/>
      <c r="K2" s="103"/>
      <c r="L2" s="103"/>
      <c r="M2" s="103"/>
    </row>
    <row r="3" spans="3:13" ht="16" thickBot="1">
      <c r="C3" s="416" t="s">
        <v>263</v>
      </c>
    </row>
    <row r="4" spans="3:13" ht="13" thickTop="1">
      <c r="K4" s="1521" t="str">
        <f ca="1">OFFSET(ad_first,OFFSET(ads_top,ROW(ads_rounding)-1,1),0)</f>
        <v>Our Visual Basic course shows how to increase work efficiency by making shortcuts for common tasks</v>
      </c>
      <c r="L4" s="1522"/>
      <c r="M4" s="1523"/>
    </row>
    <row r="5" spans="3:13">
      <c r="C5" s="1584" t="s">
        <v>289</v>
      </c>
      <c r="D5" s="1518"/>
      <c r="E5" s="1518"/>
      <c r="F5" s="1518"/>
      <c r="G5" s="1518"/>
      <c r="H5" s="1518"/>
      <c r="I5" s="1518"/>
      <c r="J5" s="1518"/>
      <c r="K5" s="1524"/>
      <c r="L5" s="1525"/>
      <c r="M5" s="1526"/>
    </row>
    <row r="6" spans="3:13">
      <c r="C6" s="1518"/>
      <c r="D6" s="1518"/>
      <c r="E6" s="1518"/>
      <c r="F6" s="1518"/>
      <c r="G6" s="1518"/>
      <c r="H6" s="1518"/>
      <c r="I6" s="1518"/>
      <c r="J6" s="1518"/>
      <c r="K6" s="1524"/>
      <c r="L6" s="1525"/>
      <c r="M6" s="1526"/>
    </row>
    <row r="7" spans="3:13">
      <c r="C7" s="1518"/>
      <c r="D7" s="1518"/>
      <c r="E7" s="1518"/>
      <c r="F7" s="1518"/>
      <c r="G7" s="1518"/>
      <c r="H7" s="1518"/>
      <c r="I7" s="1518"/>
      <c r="J7" s="1518"/>
      <c r="K7" s="1524"/>
      <c r="L7" s="1525"/>
      <c r="M7" s="1526"/>
    </row>
    <row r="8" spans="3:13" s="773" customFormat="1" ht="13" thickBot="1">
      <c r="C8" s="1155"/>
      <c r="D8" s="1155"/>
      <c r="E8" s="1155"/>
      <c r="F8" s="1155"/>
      <c r="G8" s="1155"/>
      <c r="H8" s="1155"/>
      <c r="I8" s="1155"/>
      <c r="J8" s="1155"/>
      <c r="K8" s="1527"/>
      <c r="L8" s="1528"/>
      <c r="M8" s="1529"/>
    </row>
    <row r="9" spans="3:13" s="773" customFormat="1" ht="13.5" thickTop="1">
      <c r="C9" s="772" t="str">
        <f>functions_used</f>
        <v>Spreadsheet functions used in this example</v>
      </c>
      <c r="K9" s="1310"/>
      <c r="L9" s="1311"/>
      <c r="M9" s="1311"/>
    </row>
    <row r="10" spans="3:13" s="773" customFormat="1">
      <c r="C10" s="1596" t="str">
        <f>functions_rounding</f>
        <v>IF, OFFSET, ROUND, ROW</v>
      </c>
      <c r="D10" s="1596"/>
      <c r="E10" s="1596"/>
      <c r="F10" s="1596"/>
      <c r="G10" s="1596"/>
      <c r="H10" s="1596"/>
      <c r="I10" s="1596"/>
      <c r="J10" s="1596"/>
      <c r="K10" s="1596"/>
      <c r="L10" s="1596"/>
      <c r="M10" s="1596"/>
    </row>
    <row r="11" spans="3:13" s="773" customFormat="1"/>
    <row r="12" spans="3:13" s="773" customFormat="1" ht="13">
      <c r="C12" s="772" t="s">
        <v>141</v>
      </c>
    </row>
    <row r="13" spans="3:13" s="773" customFormat="1">
      <c r="C13" s="774" t="s">
        <v>407</v>
      </c>
      <c r="D13" s="774"/>
      <c r="E13" s="774"/>
      <c r="F13" s="774"/>
      <c r="G13" s="774"/>
      <c r="H13" s="774"/>
      <c r="I13" s="774"/>
      <c r="J13" s="774"/>
      <c r="K13" s="774"/>
      <c r="L13" s="774"/>
    </row>
    <row r="14" spans="3:13"/>
    <row r="15" spans="3:13" ht="13">
      <c r="D15" s="756" t="s">
        <v>123</v>
      </c>
      <c r="E15" s="756" t="s">
        <v>124</v>
      </c>
    </row>
    <row r="16" spans="3:13" ht="13">
      <c r="C16" s="740" t="s">
        <v>1363</v>
      </c>
      <c r="D16" s="1442" t="s">
        <v>262</v>
      </c>
      <c r="E16" s="771">
        <f>1/10 - 1/10 + 1/10000</f>
        <v>1E-4</v>
      </c>
    </row>
    <row r="17" spans="3:13" ht="13">
      <c r="C17" s="740" t="s">
        <v>1364</v>
      </c>
      <c r="D17" s="1442" t="s">
        <v>125</v>
      </c>
      <c r="E17" s="771">
        <f>1/10 + 1/10000 -1/10</f>
        <v>1.0000000000000286E-4</v>
      </c>
    </row>
    <row r="18" spans="3:13"/>
    <row r="19" spans="3:13">
      <c r="C19" s="1585" t="s">
        <v>142</v>
      </c>
      <c r="D19" s="1585"/>
      <c r="E19" s="1585"/>
      <c r="F19" s="1585"/>
      <c r="G19" s="1585"/>
      <c r="H19" s="1585"/>
      <c r="I19" s="1585"/>
      <c r="J19" s="1585"/>
      <c r="K19" s="1585"/>
      <c r="L19" s="1585"/>
      <c r="M19" s="1585"/>
    </row>
    <row r="20" spans="3:13">
      <c r="C20" s="1585"/>
      <c r="D20" s="1585"/>
      <c r="E20" s="1585"/>
      <c r="F20" s="1585"/>
      <c r="G20" s="1585"/>
      <c r="H20" s="1585"/>
      <c r="I20" s="1585"/>
      <c r="J20" s="1585"/>
      <c r="K20" s="1585"/>
      <c r="L20" s="1585"/>
      <c r="M20" s="1585"/>
    </row>
    <row r="21" spans="3:13">
      <c r="C21" s="1585"/>
      <c r="D21" s="1585"/>
      <c r="E21" s="1585"/>
      <c r="F21" s="1585"/>
      <c r="G21" s="1585"/>
      <c r="H21" s="1585"/>
      <c r="I21" s="1585"/>
      <c r="J21" s="1585"/>
      <c r="K21" s="1585"/>
      <c r="L21" s="1585"/>
      <c r="M21" s="1585"/>
    </row>
    <row r="22" spans="3:13">
      <c r="C22" s="1585"/>
      <c r="D22" s="1585"/>
      <c r="E22" s="1585"/>
      <c r="F22" s="1585"/>
      <c r="G22" s="1585"/>
      <c r="H22" s="1585"/>
      <c r="I22" s="1585"/>
      <c r="J22" s="1585"/>
      <c r="K22" s="1585"/>
      <c r="L22" s="1585"/>
      <c r="M22" s="1585"/>
    </row>
    <row r="23" spans="3:13">
      <c r="C23" s="1585"/>
      <c r="D23" s="1585"/>
      <c r="E23" s="1585"/>
      <c r="F23" s="1585"/>
      <c r="G23" s="1585"/>
      <c r="H23" s="1585"/>
      <c r="I23" s="1585"/>
      <c r="J23" s="1585"/>
      <c r="K23" s="1585"/>
      <c r="L23" s="1585"/>
      <c r="M23" s="1585"/>
    </row>
    <row r="24" spans="3:13">
      <c r="C24" s="1585"/>
      <c r="D24" s="1585"/>
      <c r="E24" s="1585"/>
      <c r="F24" s="1585"/>
      <c r="G24" s="1585"/>
      <c r="H24" s="1585"/>
      <c r="I24" s="1585"/>
      <c r="J24" s="1585"/>
      <c r="K24" s="1585"/>
      <c r="L24" s="1585"/>
      <c r="M24" s="1585"/>
    </row>
    <row r="25" spans="3:13">
      <c r="C25" s="1585"/>
      <c r="D25" s="1585"/>
      <c r="E25" s="1585"/>
      <c r="F25" s="1585"/>
      <c r="G25" s="1585"/>
      <c r="H25" s="1585"/>
      <c r="I25" s="1585"/>
      <c r="J25" s="1585"/>
      <c r="K25" s="1585"/>
      <c r="L25" s="1585"/>
      <c r="M25" s="1585"/>
    </row>
    <row r="26" spans="3:13">
      <c r="C26" s="1585"/>
      <c r="D26" s="1585"/>
      <c r="E26" s="1585"/>
      <c r="F26" s="1585"/>
      <c r="G26" s="1585"/>
      <c r="H26" s="1585"/>
      <c r="I26" s="1585"/>
      <c r="J26" s="1585"/>
      <c r="K26" s="1585"/>
      <c r="L26" s="1585"/>
      <c r="M26" s="1585"/>
    </row>
    <row r="27" spans="3:13">
      <c r="C27" s="1585"/>
      <c r="D27" s="1585"/>
      <c r="E27" s="1585"/>
      <c r="F27" s="1585"/>
      <c r="G27" s="1585"/>
      <c r="H27" s="1585"/>
      <c r="I27" s="1585"/>
      <c r="J27" s="1585"/>
      <c r="K27" s="1585"/>
      <c r="L27" s="1585"/>
      <c r="M27" s="1585"/>
    </row>
    <row r="28" spans="3:13" ht="13">
      <c r="C28" s="757" t="s">
        <v>124</v>
      </c>
      <c r="D28" s="1594" t="s">
        <v>123</v>
      </c>
      <c r="E28" s="1595"/>
      <c r="F28" s="1595"/>
      <c r="G28" s="1595"/>
      <c r="H28" s="1593"/>
    </row>
    <row r="29" spans="3:13">
      <c r="C29" s="765" t="str">
        <f>IF(1/10 + 1/10000 - 1/10 = 1/10 - 1/10 + 1/10000, "Same", "Different")</f>
        <v>Different</v>
      </c>
      <c r="D29" s="758" t="s">
        <v>264</v>
      </c>
      <c r="E29" s="759"/>
      <c r="F29" s="759"/>
      <c r="G29" s="760" t="s">
        <v>403</v>
      </c>
      <c r="H29" s="761" t="s">
        <v>404</v>
      </c>
    </row>
    <row r="30" spans="3:13"/>
    <row r="31" spans="3:13">
      <c r="C31" s="1585" t="s">
        <v>408</v>
      </c>
      <c r="D31" s="1585"/>
      <c r="E31" s="1585"/>
      <c r="F31" s="1585"/>
      <c r="G31" s="1585"/>
      <c r="H31" s="1585"/>
      <c r="I31" s="1585"/>
      <c r="J31" s="1585"/>
      <c r="K31" s="1585"/>
      <c r="L31" s="1585"/>
      <c r="M31" s="1585"/>
    </row>
    <row r="32" spans="3:13">
      <c r="C32" s="1585"/>
      <c r="D32" s="1585"/>
      <c r="E32" s="1585"/>
      <c r="F32" s="1585"/>
      <c r="G32" s="1585"/>
      <c r="H32" s="1585"/>
      <c r="I32" s="1585"/>
      <c r="J32" s="1585"/>
      <c r="K32" s="1585"/>
      <c r="L32" s="1585"/>
      <c r="M32" s="1585"/>
    </row>
    <row r="33" spans="3:13"/>
    <row r="34" spans="3:13">
      <c r="C34" s="762" t="s">
        <v>124</v>
      </c>
      <c r="D34" s="1591" t="s">
        <v>123</v>
      </c>
      <c r="E34" s="1592"/>
      <c r="F34" s="1592"/>
      <c r="G34" s="1592"/>
      <c r="H34" s="1592"/>
      <c r="I34" s="1592"/>
      <c r="J34" s="1593"/>
    </row>
    <row r="35" spans="3:13">
      <c r="C35" s="765" t="str">
        <f>IF(ROUND(1/10 + 1/10000 - 1/10,6) = ROUND(1/10 - 1/10 + 1/10000,6), "Same", "Different")</f>
        <v>Same</v>
      </c>
      <c r="D35" s="763" t="s">
        <v>402</v>
      </c>
      <c r="E35" s="358"/>
      <c r="F35" s="358"/>
      <c r="G35" s="358"/>
      <c r="H35" s="358"/>
      <c r="I35" s="764" t="s">
        <v>405</v>
      </c>
      <c r="J35" s="761" t="s">
        <v>406</v>
      </c>
    </row>
    <row r="36" spans="3:13"/>
    <row r="37" spans="3:13">
      <c r="C37" s="1485" t="str">
        <f>back_to_index</f>
        <v>Back to contents</v>
      </c>
      <c r="D37" s="1485"/>
      <c r="E37" s="1530" t="str">
        <f>page_prefix &amp; page_rounding &amp; page_suffix</f>
        <v>- Page 13 -</v>
      </c>
      <c r="F37" s="1530"/>
      <c r="G37" s="1530"/>
      <c r="H37" s="1530"/>
      <c r="I37" s="1530"/>
      <c r="L37" s="1485" t="str">
        <f>back_to_top</f>
        <v>Back to top</v>
      </c>
      <c r="M37" s="1485"/>
    </row>
    <row r="38" spans="3:13">
      <c r="E38" s="1530" t="str">
        <f>copyright</f>
        <v>Copyright (c) 2009 Tykoh Group Pty Limited</v>
      </c>
      <c r="F38" s="1530"/>
      <c r="G38" s="1530"/>
      <c r="H38" s="1530"/>
      <c r="I38" s="1530"/>
    </row>
    <row r="39" spans="3:13">
      <c r="E39" s="1452" t="str">
        <f>home_address</f>
        <v>www.tykoh.com</v>
      </c>
      <c r="F39" s="1452"/>
      <c r="G39" s="1452"/>
      <c r="H39" s="1452"/>
      <c r="I39" s="1452"/>
    </row>
    <row r="40" spans="3:13"/>
  </sheetData>
  <sheetProtection algorithmName="SHA-512" hashValue="YQH4aox8WFqe1Vi4Bar0nVOFDdLYTzhz5dvpRXjbPTCiY1QxjPWcqrYuFtYMJlpERKa/IHkyAZiSDfMU+5QPzw==" saltValue="PmlrbGe3AByHDQiZ4gRApg==" spinCount="100000" sheet="1" objects="1" scenarios="1"/>
  <mergeCells count="12">
    <mergeCell ref="E39:I39"/>
    <mergeCell ref="C37:D37"/>
    <mergeCell ref="E38:I38"/>
    <mergeCell ref="C10:M10"/>
    <mergeCell ref="C19:M27"/>
    <mergeCell ref="C31:M32"/>
    <mergeCell ref="D34:J34"/>
    <mergeCell ref="D28:H28"/>
    <mergeCell ref="C5:J7"/>
    <mergeCell ref="K4:M8"/>
    <mergeCell ref="L37:M37"/>
    <mergeCell ref="E37:I37"/>
  </mergeCells>
  <phoneticPr fontId="2" type="noConversion"/>
  <hyperlinks>
    <hyperlink ref="L37:M37" location="hh_rounding" display="hh_rounding" xr:uid="{00000000-0004-0000-1200-000000000000}"/>
    <hyperlink ref="C37:D37" location="hh_index" display="hh_index" xr:uid="{00000000-0004-0000-1200-000001000000}"/>
    <hyperlink ref="E39:I39" r:id="rId1" display="https://www.tykoh.com/" xr:uid="{00000000-0004-0000-1200-000002000000}"/>
  </hyperlinks>
  <pageMargins left="0.75" right="0.75" top="1" bottom="1" header="0.5" footer="0.5"/>
  <pageSetup scale="74"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C1:R76"/>
  <sheetViews>
    <sheetView showGridLines="0" showRowColHeaders="0" tabSelected="1" workbookViewId="0"/>
  </sheetViews>
  <sheetFormatPr defaultColWidth="0" defaultRowHeight="12.75" customHeight="1" zeroHeight="1"/>
  <cols>
    <col min="1" max="2" width="1" style="599" customWidth="1"/>
    <col min="3" max="3" width="2.54296875" style="717" customWidth="1"/>
    <col min="4" max="5" width="1.81640625" style="599" customWidth="1"/>
    <col min="6" max="6" width="19.54296875" style="599" customWidth="1"/>
    <col min="7" max="15" width="8.54296875" style="599" customWidth="1"/>
    <col min="16" max="16" width="9.453125" style="599" customWidth="1"/>
    <col min="17" max="17" width="2.7265625" style="599" customWidth="1"/>
    <col min="18" max="18" width="3.7265625" style="599" customWidth="1"/>
    <col min="19" max="19" width="1.81640625" style="599" customWidth="1"/>
    <col min="20" max="16384" width="0" style="599" hidden="1"/>
  </cols>
  <sheetData>
    <row r="1" spans="3:18" ht="12.75" customHeight="1">
      <c r="P1" s="599" t="s">
        <v>360</v>
      </c>
      <c r="Q1" s="975"/>
    </row>
    <row r="2" spans="3:18" ht="12.75" customHeight="1">
      <c r="C2" s="1198"/>
      <c r="D2" s="1199"/>
      <c r="E2" s="1199"/>
      <c r="F2" s="1199"/>
      <c r="G2" s="1199"/>
      <c r="H2" s="1199"/>
      <c r="I2" s="1478"/>
      <c r="J2" s="1479"/>
      <c r="K2" s="1479"/>
      <c r="L2" s="1479"/>
      <c r="M2" s="1479"/>
      <c r="N2" s="1199"/>
      <c r="O2" s="1199"/>
      <c r="P2" s="1199"/>
      <c r="Q2" s="1200"/>
      <c r="R2" s="1199"/>
    </row>
    <row r="3" spans="3:18" ht="17.5">
      <c r="E3" s="718"/>
      <c r="F3" s="718"/>
      <c r="H3" s="1477" t="s">
        <v>420</v>
      </c>
      <c r="I3" s="1477"/>
      <c r="J3" s="1477"/>
      <c r="K3" s="1477"/>
      <c r="L3" s="1477"/>
      <c r="M3" s="1477"/>
      <c r="Q3" s="975"/>
    </row>
    <row r="4" spans="3:18" ht="12.75" customHeight="1">
      <c r="C4" s="1469" t="s">
        <v>564</v>
      </c>
      <c r="D4" s="1470"/>
      <c r="E4" s="1470"/>
      <c r="F4" s="1470"/>
      <c r="G4" s="1470"/>
      <c r="H4" s="1470"/>
      <c r="I4" s="719"/>
      <c r="J4" s="719"/>
      <c r="K4" s="719"/>
      <c r="L4" s="719"/>
      <c r="M4" s="719"/>
      <c r="N4" s="719"/>
      <c r="O4" s="719"/>
      <c r="P4" s="719"/>
      <c r="Q4" s="976"/>
      <c r="R4" s="720"/>
    </row>
    <row r="5" spans="3:18" ht="12.75" customHeight="1">
      <c r="D5" s="368" t="s">
        <v>140</v>
      </c>
      <c r="E5" s="368"/>
      <c r="F5" s="368"/>
      <c r="G5" s="1473" t="s">
        <v>1024</v>
      </c>
      <c r="H5" s="1473"/>
      <c r="I5" s="1473"/>
      <c r="J5" s="1473"/>
      <c r="K5" s="1473"/>
      <c r="L5" s="1473"/>
      <c r="M5" s="1473"/>
      <c r="N5" s="1473"/>
      <c r="O5" s="1473"/>
      <c r="P5" s="1480"/>
      <c r="Q5" s="1443">
        <f>page_About</f>
        <v>1</v>
      </c>
      <c r="R5" s="600"/>
    </row>
    <row r="6" spans="3:18" ht="12.75" customHeight="1">
      <c r="D6" s="368" t="s">
        <v>420</v>
      </c>
      <c r="E6" s="368"/>
      <c r="F6" s="368"/>
      <c r="G6" s="1473" t="s">
        <v>421</v>
      </c>
      <c r="H6" s="1480"/>
      <c r="I6" s="1480"/>
      <c r="J6" s="1480"/>
      <c r="K6" s="1480"/>
      <c r="L6" s="1480"/>
      <c r="M6" s="1480"/>
      <c r="N6" s="1480"/>
      <c r="O6" s="1480"/>
      <c r="P6" s="1480"/>
      <c r="Q6" s="1443">
        <f>page_index</f>
        <v>2</v>
      </c>
      <c r="R6" s="600"/>
    </row>
    <row r="7" spans="3:18" ht="12.75" customHeight="1">
      <c r="G7" s="600"/>
      <c r="H7" s="972"/>
      <c r="I7" s="972"/>
      <c r="J7" s="972"/>
      <c r="K7" s="972"/>
      <c r="L7" s="972"/>
      <c r="M7" s="972"/>
      <c r="N7" s="972"/>
      <c r="O7" s="972"/>
      <c r="P7" s="972"/>
      <c r="Q7" s="975"/>
      <c r="R7" s="600"/>
    </row>
    <row r="8" spans="3:18" ht="12.75" customHeight="1">
      <c r="C8" s="1469" t="str">
        <f>title_ch_1</f>
        <v>Chapter 1 - Sample Spreadsheet Applications</v>
      </c>
      <c r="D8" s="1472"/>
      <c r="E8" s="1472"/>
      <c r="F8" s="1472"/>
      <c r="G8" s="1472"/>
      <c r="H8" s="1472"/>
      <c r="I8" s="972"/>
      <c r="J8" s="972"/>
      <c r="K8" s="972"/>
      <c r="L8" s="972"/>
      <c r="M8" s="972"/>
      <c r="N8" s="972"/>
      <c r="O8" s="972"/>
      <c r="P8" s="972"/>
      <c r="Q8" s="975"/>
      <c r="R8" s="600"/>
    </row>
    <row r="9" spans="3:18" ht="12.75" customHeight="1">
      <c r="D9" s="368" t="s">
        <v>1359</v>
      </c>
      <c r="E9" s="368"/>
      <c r="F9" s="368"/>
      <c r="G9" s="1473" t="s">
        <v>363</v>
      </c>
      <c r="H9" s="1473"/>
      <c r="I9" s="1473"/>
      <c r="J9" s="1473"/>
      <c r="K9" s="1473"/>
      <c r="L9" s="1473"/>
      <c r="M9" s="1473"/>
      <c r="N9" s="1473"/>
      <c r="O9" s="1473"/>
      <c r="P9" s="1473"/>
      <c r="Q9" s="1443">
        <f>page_Aggregating</f>
        <v>3</v>
      </c>
      <c r="R9" s="600"/>
    </row>
    <row r="10" spans="3:18" ht="12.75" customHeight="1">
      <c r="D10" s="368" t="s">
        <v>1384</v>
      </c>
      <c r="E10" s="368"/>
      <c r="F10" s="368"/>
      <c r="G10" s="1473" t="s">
        <v>455</v>
      </c>
      <c r="H10" s="1473"/>
      <c r="I10" s="1473"/>
      <c r="J10" s="1473"/>
      <c r="K10" s="1473"/>
      <c r="L10" s="1473"/>
      <c r="M10" s="1473"/>
      <c r="N10" s="1473"/>
      <c r="O10" s="1473"/>
      <c r="P10" s="1473"/>
      <c r="Q10" s="1443">
        <f>page_Averaging</f>
        <v>4</v>
      </c>
      <c r="R10" s="600"/>
    </row>
    <row r="11" spans="3:18" ht="12.75" customHeight="1">
      <c r="D11" s="368" t="s">
        <v>1385</v>
      </c>
      <c r="E11" s="368"/>
      <c r="F11" s="368"/>
      <c r="G11" s="1473" t="s">
        <v>383</v>
      </c>
      <c r="H11" s="1473"/>
      <c r="I11" s="1473"/>
      <c r="J11" s="1473"/>
      <c r="K11" s="1473"/>
      <c r="L11" s="1473"/>
      <c r="M11" s="1473"/>
      <c r="N11" s="1473"/>
      <c r="O11" s="1473"/>
      <c r="P11" s="1473"/>
      <c r="Q11" s="1443">
        <f>page_Charting</f>
        <v>5</v>
      </c>
      <c r="R11" s="600"/>
    </row>
    <row r="12" spans="3:18" ht="12.75" customHeight="1">
      <c r="D12" s="368" t="s">
        <v>1386</v>
      </c>
      <c r="E12" s="368"/>
      <c r="F12" s="368"/>
      <c r="G12" s="1473" t="s">
        <v>379</v>
      </c>
      <c r="H12" s="1473"/>
      <c r="I12" s="1473"/>
      <c r="J12" s="1473"/>
      <c r="K12" s="1473"/>
      <c r="L12" s="1473"/>
      <c r="M12" s="1473"/>
      <c r="N12" s="1473"/>
      <c r="O12" s="1473"/>
      <c r="P12" s="1473"/>
      <c r="Q12" s="1443">
        <f>page_Highlighting</f>
        <v>6</v>
      </c>
      <c r="R12" s="600"/>
    </row>
    <row r="13" spans="3:18" ht="12.75" customHeight="1">
      <c r="D13" s="368" t="s">
        <v>1387</v>
      </c>
      <c r="E13" s="368"/>
      <c r="F13" s="368"/>
      <c r="G13" s="1473" t="s">
        <v>364</v>
      </c>
      <c r="H13" s="1473"/>
      <c r="I13" s="1473"/>
      <c r="J13" s="1473"/>
      <c r="K13" s="1473"/>
      <c r="L13" s="1473"/>
      <c r="M13" s="1473"/>
      <c r="N13" s="1473"/>
      <c r="O13" s="1473"/>
      <c r="P13" s="1473"/>
      <c r="Q13" s="1443">
        <f>page_Filtering</f>
        <v>7</v>
      </c>
      <c r="R13" s="600"/>
    </row>
    <row r="14" spans="3:18" ht="12.75" customHeight="1">
      <c r="D14" s="368" t="s">
        <v>378</v>
      </c>
      <c r="E14" s="368"/>
      <c r="F14" s="368"/>
      <c r="G14" s="368" t="s">
        <v>964</v>
      </c>
      <c r="H14" s="368"/>
      <c r="I14" s="368"/>
      <c r="J14" s="368"/>
      <c r="K14" s="368"/>
      <c r="L14" s="368"/>
      <c r="M14" s="368"/>
      <c r="N14" s="368"/>
      <c r="O14" s="368"/>
      <c r="P14" s="368"/>
      <c r="Q14" s="1443">
        <f>page_ratesensitising</f>
        <v>8</v>
      </c>
      <c r="R14" s="600"/>
    </row>
    <row r="15" spans="3:18" ht="12.75" customHeight="1">
      <c r="D15" s="368" t="s">
        <v>1360</v>
      </c>
      <c r="E15" s="368"/>
      <c r="F15" s="368"/>
      <c r="G15" s="1473" t="s">
        <v>1662</v>
      </c>
      <c r="H15" s="1473"/>
      <c r="I15" s="1473"/>
      <c r="J15" s="1473"/>
      <c r="K15" s="1473"/>
      <c r="L15" s="1473"/>
      <c r="M15" s="1473"/>
      <c r="N15" s="1473"/>
      <c r="O15" s="1473"/>
      <c r="P15" s="1473"/>
      <c r="Q15" s="1443">
        <f>page_Interpolating</f>
        <v>9</v>
      </c>
      <c r="R15" s="600"/>
    </row>
    <row r="16" spans="3:18" ht="12.75" customHeight="1">
      <c r="D16" s="368" t="s">
        <v>1439</v>
      </c>
      <c r="E16" s="368"/>
      <c r="F16" s="368"/>
      <c r="G16" s="1473" t="s">
        <v>1030</v>
      </c>
      <c r="H16" s="1473"/>
      <c r="I16" s="1473"/>
      <c r="J16" s="1473"/>
      <c r="K16" s="1473"/>
      <c r="L16" s="1473"/>
      <c r="M16" s="1473"/>
      <c r="N16" s="1473"/>
      <c r="O16" s="1473"/>
      <c r="P16" s="1473"/>
      <c r="Q16" s="1443">
        <f>page_Looking_Up</f>
        <v>10</v>
      </c>
      <c r="R16" s="600"/>
    </row>
    <row r="17" spans="3:18" ht="12.75" customHeight="1">
      <c r="D17" s="368" t="s">
        <v>355</v>
      </c>
      <c r="E17" s="368"/>
      <c r="F17" s="368"/>
      <c r="G17" s="1473" t="s">
        <v>380</v>
      </c>
      <c r="H17" s="1473"/>
      <c r="I17" s="1473"/>
      <c r="J17" s="1473"/>
      <c r="K17" s="1473"/>
      <c r="L17" s="1473"/>
      <c r="M17" s="1473"/>
      <c r="N17" s="1473"/>
      <c r="O17" s="1473"/>
      <c r="P17" s="1473"/>
      <c r="Q17" s="1443">
        <f>page_Prioritising</f>
        <v>11</v>
      </c>
      <c r="R17" s="600"/>
    </row>
    <row r="18" spans="3:18" ht="12.75" customHeight="1">
      <c r="D18" s="368" t="s">
        <v>1388</v>
      </c>
      <c r="E18" s="368"/>
      <c r="F18" s="368"/>
      <c r="G18" s="1473" t="s">
        <v>381</v>
      </c>
      <c r="H18" s="1473"/>
      <c r="I18" s="1473"/>
      <c r="J18" s="1473"/>
      <c r="K18" s="1473"/>
      <c r="L18" s="1473"/>
      <c r="M18" s="1473"/>
      <c r="N18" s="1473"/>
      <c r="O18" s="1473"/>
      <c r="P18" s="1473"/>
      <c r="Q18" s="1443">
        <f>page_Ranking</f>
        <v>12</v>
      </c>
      <c r="R18" s="600"/>
    </row>
    <row r="19" spans="3:18" ht="12.75" customHeight="1">
      <c r="D19" s="368" t="s">
        <v>263</v>
      </c>
      <c r="E19" s="368"/>
      <c r="F19" s="368"/>
      <c r="G19" s="368" t="s">
        <v>177</v>
      </c>
      <c r="H19" s="368"/>
      <c r="I19" s="368"/>
      <c r="J19" s="368"/>
      <c r="K19" s="368"/>
      <c r="L19" s="368"/>
      <c r="M19" s="368"/>
      <c r="N19" s="368"/>
      <c r="O19" s="368"/>
      <c r="P19" s="368"/>
      <c r="Q19" s="1443">
        <f>page_rounding</f>
        <v>13</v>
      </c>
      <c r="R19" s="600"/>
    </row>
    <row r="20" spans="3:18" ht="12.75" customHeight="1">
      <c r="D20" s="368" t="s">
        <v>362</v>
      </c>
      <c r="E20" s="368"/>
      <c r="F20" s="368"/>
      <c r="G20" s="1473" t="s">
        <v>382</v>
      </c>
      <c r="H20" s="1473"/>
      <c r="I20" s="1473"/>
      <c r="J20" s="1473"/>
      <c r="K20" s="1473"/>
      <c r="L20" s="1473"/>
      <c r="M20" s="1473"/>
      <c r="N20" s="1473"/>
      <c r="O20" s="1473"/>
      <c r="P20" s="1473"/>
      <c r="Q20" s="1443">
        <f>page_Scenario_Analysing</f>
        <v>14</v>
      </c>
      <c r="R20" s="600"/>
    </row>
    <row r="21" spans="3:18" ht="12.75" customHeight="1">
      <c r="D21" s="368" t="s">
        <v>1501</v>
      </c>
      <c r="E21" s="368"/>
      <c r="F21" s="368"/>
      <c r="G21" s="1473" t="s">
        <v>703</v>
      </c>
      <c r="H21" s="1473"/>
      <c r="I21" s="1473"/>
      <c r="J21" s="1473"/>
      <c r="K21" s="1473"/>
      <c r="L21" s="1473"/>
      <c r="M21" s="1473"/>
      <c r="N21" s="1473"/>
      <c r="O21" s="1473"/>
      <c r="P21" s="1473"/>
      <c r="Q21" s="1443">
        <f>page_Scheduling</f>
        <v>15</v>
      </c>
      <c r="R21" s="600"/>
    </row>
    <row r="22" spans="3:18" ht="12.75" customHeight="1">
      <c r="D22" s="368" t="s">
        <v>8</v>
      </c>
      <c r="E22" s="368"/>
      <c r="F22" s="368"/>
      <c r="G22" s="1473" t="s">
        <v>1067</v>
      </c>
      <c r="H22" s="1473"/>
      <c r="I22" s="1473"/>
      <c r="J22" s="1473"/>
      <c r="K22" s="1473"/>
      <c r="L22" s="1473"/>
      <c r="M22" s="1473"/>
      <c r="N22" s="1473"/>
      <c r="O22" s="1473"/>
      <c r="P22" s="1473"/>
      <c r="Q22" s="1443">
        <f>page_seasonalising</f>
        <v>16</v>
      </c>
      <c r="R22" s="600"/>
    </row>
    <row r="23" spans="3:18" ht="12.75" customHeight="1">
      <c r="D23" s="368" t="s">
        <v>367</v>
      </c>
      <c r="E23" s="368"/>
      <c r="F23" s="368"/>
      <c r="G23" s="1473" t="s">
        <v>1663</v>
      </c>
      <c r="H23" s="1473"/>
      <c r="I23" s="1473"/>
      <c r="J23" s="1473"/>
      <c r="K23" s="1473"/>
      <c r="L23" s="1473"/>
      <c r="M23" s="1473"/>
      <c r="N23" s="1473"/>
      <c r="O23" s="1473"/>
      <c r="P23" s="1473"/>
      <c r="Q23" s="1443">
        <f>page_Sensitising_Value</f>
        <v>17</v>
      </c>
      <c r="R23" s="600"/>
    </row>
    <row r="24" spans="3:18" ht="12.75" customHeight="1">
      <c r="D24" s="368" t="s">
        <v>368</v>
      </c>
      <c r="E24" s="368"/>
      <c r="F24" s="368"/>
      <c r="G24" s="1473" t="s">
        <v>377</v>
      </c>
      <c r="H24" s="1473"/>
      <c r="I24" s="1473"/>
      <c r="J24" s="1473"/>
      <c r="K24" s="1473"/>
      <c r="L24" s="1473"/>
      <c r="M24" s="1473"/>
      <c r="N24" s="1473"/>
      <c r="O24" s="1473"/>
      <c r="P24" s="1473"/>
      <c r="Q24" s="1443">
        <f>page_Valuing_Option</f>
        <v>18</v>
      </c>
      <c r="R24" s="600"/>
    </row>
    <row r="25" spans="3:18" ht="12.75" customHeight="1">
      <c r="D25" s="368" t="s">
        <v>409</v>
      </c>
      <c r="E25" s="368"/>
      <c r="F25" s="368"/>
      <c r="G25" s="368" t="s">
        <v>175</v>
      </c>
      <c r="H25" s="368"/>
      <c r="I25" s="368"/>
      <c r="J25" s="368"/>
      <c r="K25" s="368"/>
      <c r="L25" s="368"/>
      <c r="M25" s="368"/>
      <c r="N25" s="368"/>
      <c r="O25" s="368"/>
      <c r="P25" s="368"/>
      <c r="Q25" s="1443">
        <f>page_VB</f>
        <v>19</v>
      </c>
      <c r="R25" s="600"/>
    </row>
    <row r="26" spans="3:18" ht="12.75" customHeight="1">
      <c r="D26" s="368" t="s">
        <v>1061</v>
      </c>
      <c r="E26" s="368"/>
      <c r="F26" s="368"/>
      <c r="G26" s="1473" t="s">
        <v>1062</v>
      </c>
      <c r="H26" s="1473"/>
      <c r="I26" s="1473"/>
      <c r="J26" s="1473"/>
      <c r="K26" s="1473"/>
      <c r="L26" s="1473"/>
      <c r="M26" s="1473"/>
      <c r="N26" s="1473"/>
      <c r="O26" s="1473"/>
      <c r="P26" s="1473"/>
      <c r="Q26" s="1443">
        <f>page_Your_own</f>
        <v>20</v>
      </c>
      <c r="R26" s="600"/>
    </row>
    <row r="27" spans="3:18" ht="12.75" customHeight="1">
      <c r="D27" s="368" t="s">
        <v>1104</v>
      </c>
      <c r="E27" s="368"/>
      <c r="F27" s="368"/>
      <c r="G27" s="368" t="s">
        <v>369</v>
      </c>
      <c r="H27" s="368"/>
      <c r="I27" s="368"/>
      <c r="J27" s="368"/>
      <c r="K27" s="368"/>
      <c r="L27" s="368"/>
      <c r="M27" s="368"/>
      <c r="N27" s="368"/>
      <c r="O27" s="368"/>
      <c r="P27" s="368"/>
      <c r="Q27" s="1443">
        <f>page_xref</f>
        <v>20</v>
      </c>
      <c r="R27" s="600"/>
    </row>
    <row r="28" spans="3:18" ht="12.75" customHeight="1">
      <c r="G28" s="600"/>
      <c r="H28" s="600"/>
      <c r="I28" s="600"/>
      <c r="J28" s="600"/>
      <c r="K28" s="600"/>
      <c r="L28" s="600"/>
      <c r="M28" s="600"/>
      <c r="N28" s="600"/>
      <c r="O28" s="600"/>
      <c r="P28" s="600"/>
      <c r="Q28" s="975"/>
      <c r="R28" s="600"/>
    </row>
    <row r="29" spans="3:18" ht="12.75" customHeight="1">
      <c r="C29" s="1469" t="str">
        <f>title_ch_2</f>
        <v>Chapter 2 - Functions</v>
      </c>
      <c r="D29" s="1471"/>
      <c r="E29" s="1471"/>
      <c r="F29" s="1471"/>
      <c r="G29" s="1471"/>
      <c r="H29" s="1471"/>
      <c r="I29" s="1471"/>
      <c r="J29" s="1471"/>
      <c r="Q29" s="975"/>
    </row>
    <row r="30" spans="3:18" ht="12.75" customHeight="1">
      <c r="C30" s="1005"/>
      <c r="D30" s="368" t="s">
        <v>1089</v>
      </c>
      <c r="E30" s="27"/>
      <c r="F30" s="27"/>
      <c r="G30" s="27" t="s">
        <v>1342</v>
      </c>
      <c r="H30" s="27"/>
      <c r="I30" s="27"/>
      <c r="J30" s="27"/>
      <c r="K30" s="368"/>
      <c r="L30" s="368"/>
      <c r="M30" s="368"/>
      <c r="N30" s="368"/>
      <c r="O30" s="368"/>
      <c r="P30" s="368"/>
      <c r="Q30" s="1443">
        <f>page_fn_ABS</f>
        <v>21</v>
      </c>
    </row>
    <row r="31" spans="3:18" ht="12.75" customHeight="1">
      <c r="C31" s="1005"/>
      <c r="D31" s="368" t="s">
        <v>1543</v>
      </c>
      <c r="E31" s="27"/>
      <c r="F31" s="27"/>
      <c r="G31" s="27" t="s">
        <v>1337</v>
      </c>
      <c r="H31" s="27"/>
      <c r="I31" s="27"/>
      <c r="J31" s="27"/>
      <c r="K31" s="368"/>
      <c r="L31" s="368"/>
      <c r="M31" s="368"/>
      <c r="N31" s="368"/>
      <c r="O31" s="368"/>
      <c r="P31" s="368"/>
      <c r="Q31" s="1443">
        <f>page_fn_AND</f>
        <v>22</v>
      </c>
    </row>
    <row r="32" spans="3:18" ht="12.75" customHeight="1">
      <c r="C32" s="1005"/>
      <c r="D32" s="368" t="s">
        <v>1546</v>
      </c>
      <c r="E32" s="27"/>
      <c r="F32" s="27"/>
      <c r="G32" s="27" t="s">
        <v>722</v>
      </c>
      <c r="H32" s="27"/>
      <c r="I32" s="27"/>
      <c r="J32" s="27"/>
      <c r="K32" s="368"/>
      <c r="L32" s="368"/>
      <c r="M32" s="368"/>
      <c r="N32" s="368"/>
      <c r="O32" s="368"/>
      <c r="P32" s="368"/>
      <c r="Q32" s="1443">
        <f>page_fn_AVERAGE</f>
        <v>23</v>
      </c>
    </row>
    <row r="33" spans="4:17" ht="12.75" customHeight="1">
      <c r="D33" s="368" t="s">
        <v>1563</v>
      </c>
      <c r="E33" s="368"/>
      <c r="F33" s="368"/>
      <c r="G33" s="368" t="s">
        <v>371</v>
      </c>
      <c r="H33" s="368"/>
      <c r="I33" s="368"/>
      <c r="J33" s="368"/>
      <c r="K33" s="368"/>
      <c r="L33" s="368"/>
      <c r="M33" s="368"/>
      <c r="N33" s="368"/>
      <c r="O33" s="368"/>
      <c r="P33" s="368"/>
      <c r="Q33" s="1443">
        <f>page_fn_CHOOSE</f>
        <v>24</v>
      </c>
    </row>
    <row r="34" spans="4:17" ht="12.75" customHeight="1">
      <c r="D34" s="368" t="s">
        <v>1088</v>
      </c>
      <c r="E34" s="368"/>
      <c r="F34" s="368"/>
      <c r="G34" s="368" t="s">
        <v>716</v>
      </c>
      <c r="H34" s="368"/>
      <c r="I34" s="368"/>
      <c r="J34" s="368"/>
      <c r="K34" s="368"/>
      <c r="L34" s="368"/>
      <c r="M34" s="368"/>
      <c r="N34" s="368"/>
      <c r="O34" s="368"/>
      <c r="P34" s="368"/>
      <c r="Q34" s="1443">
        <f>page_fn_COUNT</f>
        <v>25</v>
      </c>
    </row>
    <row r="35" spans="4:17" ht="12.75" customHeight="1">
      <c r="D35" s="368" t="s">
        <v>1552</v>
      </c>
      <c r="E35" s="368"/>
      <c r="F35" s="368"/>
      <c r="G35" s="368" t="s">
        <v>717</v>
      </c>
      <c r="H35" s="368"/>
      <c r="I35" s="368"/>
      <c r="J35" s="368"/>
      <c r="K35" s="368"/>
      <c r="L35" s="368"/>
      <c r="M35" s="368"/>
      <c r="N35" s="368"/>
      <c r="O35" s="368"/>
      <c r="P35" s="368"/>
      <c r="Q35" s="1443">
        <f>page_fn_COUNTIF</f>
        <v>26</v>
      </c>
    </row>
    <row r="36" spans="4:17" ht="12.75" customHeight="1">
      <c r="D36" s="368" t="s">
        <v>1502</v>
      </c>
      <c r="E36" s="368"/>
      <c r="F36" s="368"/>
      <c r="G36" s="368" t="s">
        <v>372</v>
      </c>
      <c r="H36" s="368"/>
      <c r="I36" s="368"/>
      <c r="J36" s="368"/>
      <c r="K36" s="368"/>
      <c r="L36" s="368"/>
      <c r="M36" s="368"/>
      <c r="N36" s="368"/>
      <c r="O36" s="368"/>
      <c r="P36" s="368"/>
      <c r="Q36" s="1443">
        <f>page_fn_IF</f>
        <v>27</v>
      </c>
    </row>
    <row r="37" spans="4:17" ht="12.75" customHeight="1">
      <c r="D37" s="368" t="s">
        <v>1556</v>
      </c>
      <c r="E37" s="368"/>
      <c r="F37" s="368"/>
      <c r="G37" s="368" t="s">
        <v>1336</v>
      </c>
      <c r="H37" s="368"/>
      <c r="I37" s="368"/>
      <c r="J37" s="368"/>
      <c r="K37" s="368"/>
      <c r="L37" s="368"/>
      <c r="M37" s="368"/>
      <c r="N37" s="368"/>
      <c r="O37" s="368"/>
      <c r="P37" s="368"/>
      <c r="Q37" s="1443">
        <f>page_fn_ISNA</f>
        <v>28</v>
      </c>
    </row>
    <row r="38" spans="4:17" ht="12.75" customHeight="1">
      <c r="D38" s="368" t="s">
        <v>1551</v>
      </c>
      <c r="E38" s="368"/>
      <c r="F38" s="368"/>
      <c r="G38" s="368" t="s">
        <v>724</v>
      </c>
      <c r="H38" s="368"/>
      <c r="I38" s="368"/>
      <c r="J38" s="368"/>
      <c r="K38" s="368"/>
      <c r="L38" s="368"/>
      <c r="M38" s="368"/>
      <c r="N38" s="368"/>
      <c r="O38" s="368"/>
      <c r="P38" s="368"/>
      <c r="Q38" s="1443">
        <f>page_fn_LARGE</f>
        <v>29</v>
      </c>
    </row>
    <row r="39" spans="4:17" ht="12.75" customHeight="1">
      <c r="D39" s="368" t="s">
        <v>1553</v>
      </c>
      <c r="E39" s="368"/>
      <c r="F39" s="368"/>
      <c r="G39" s="368" t="s">
        <v>725</v>
      </c>
      <c r="H39" s="368"/>
      <c r="I39" s="368"/>
      <c r="J39" s="368"/>
      <c r="K39" s="368"/>
      <c r="L39" s="368"/>
      <c r="M39" s="368"/>
      <c r="N39" s="368"/>
      <c r="O39" s="368"/>
      <c r="P39" s="368"/>
      <c r="Q39" s="1443">
        <f>page_fn_LEFT</f>
        <v>30</v>
      </c>
    </row>
    <row r="40" spans="4:17" ht="12.75" customHeight="1">
      <c r="D40" s="368" t="s">
        <v>1542</v>
      </c>
      <c r="E40" s="368"/>
      <c r="F40" s="368"/>
      <c r="G40" s="368" t="s">
        <v>466</v>
      </c>
      <c r="H40" s="368"/>
      <c r="I40" s="368"/>
      <c r="J40" s="368"/>
      <c r="K40" s="368"/>
      <c r="L40" s="368"/>
      <c r="M40" s="368"/>
      <c r="N40" s="368"/>
      <c r="O40" s="368"/>
      <c r="P40" s="368"/>
      <c r="Q40" s="1443">
        <f>page_fn_LEFT</f>
        <v>30</v>
      </c>
    </row>
    <row r="41" spans="4:17" ht="12.75" customHeight="1">
      <c r="D41" s="368" t="s">
        <v>143</v>
      </c>
      <c r="E41" s="368"/>
      <c r="F41" s="368"/>
      <c r="G41" s="368" t="s">
        <v>373</v>
      </c>
      <c r="H41" s="368"/>
      <c r="I41" s="368"/>
      <c r="J41" s="368"/>
      <c r="K41" s="368"/>
      <c r="L41" s="368"/>
      <c r="M41" s="368"/>
      <c r="N41" s="368"/>
      <c r="O41" s="368"/>
      <c r="P41" s="368"/>
      <c r="Q41" s="1443">
        <f>page_fn_LOOKUP</f>
        <v>31</v>
      </c>
    </row>
    <row r="42" spans="4:17" ht="12.75" customHeight="1">
      <c r="D42" s="368" t="s">
        <v>1549</v>
      </c>
      <c r="E42" s="368"/>
      <c r="F42" s="368"/>
      <c r="G42" s="368" t="s">
        <v>718</v>
      </c>
      <c r="H42" s="368"/>
      <c r="I42" s="368"/>
      <c r="J42" s="368"/>
      <c r="K42" s="368"/>
      <c r="L42" s="368"/>
      <c r="M42" s="368"/>
      <c r="N42" s="368"/>
      <c r="O42" s="368"/>
      <c r="P42" s="368"/>
      <c r="Q42" s="1443">
        <f>page_fn_MATCH</f>
        <v>32</v>
      </c>
    </row>
    <row r="43" spans="4:17" ht="12.75" customHeight="1">
      <c r="D43" s="368" t="s">
        <v>1540</v>
      </c>
      <c r="E43" s="368"/>
      <c r="F43" s="368"/>
      <c r="G43" s="368" t="s">
        <v>465</v>
      </c>
      <c r="H43" s="368"/>
      <c r="I43" s="368"/>
      <c r="J43" s="368"/>
      <c r="K43" s="368"/>
      <c r="L43" s="368"/>
      <c r="M43" s="368"/>
      <c r="N43" s="368"/>
      <c r="O43" s="368"/>
      <c r="P43" s="368"/>
      <c r="Q43" s="1443">
        <f>page_fn_MAX</f>
        <v>33</v>
      </c>
    </row>
    <row r="44" spans="4:17" ht="12.75" customHeight="1">
      <c r="D44" s="368" t="s">
        <v>1561</v>
      </c>
      <c r="E44" s="368"/>
      <c r="F44" s="368"/>
      <c r="G44" s="368" t="s">
        <v>463</v>
      </c>
      <c r="H44" s="368"/>
      <c r="I44" s="368"/>
      <c r="J44" s="368"/>
      <c r="K44" s="368"/>
      <c r="L44" s="368"/>
      <c r="M44" s="368"/>
      <c r="N44" s="368"/>
      <c r="O44" s="368"/>
      <c r="P44" s="368"/>
      <c r="Q44" s="1443">
        <f>page_fn_LEFT</f>
        <v>30</v>
      </c>
    </row>
    <row r="45" spans="4:17" ht="12.75" customHeight="1">
      <c r="D45" s="368" t="s">
        <v>1541</v>
      </c>
      <c r="E45" s="368"/>
      <c r="F45" s="368"/>
      <c r="G45" s="368" t="s">
        <v>720</v>
      </c>
      <c r="H45" s="368"/>
      <c r="I45" s="368"/>
      <c r="J45" s="368"/>
      <c r="K45" s="368"/>
      <c r="L45" s="368"/>
      <c r="M45" s="368"/>
      <c r="N45" s="368"/>
      <c r="O45" s="368"/>
      <c r="P45" s="368"/>
      <c r="Q45" s="1443">
        <f>page_fn_MAX</f>
        <v>33</v>
      </c>
    </row>
    <row r="46" spans="4:17" ht="12.75" customHeight="1">
      <c r="D46" s="368" t="s">
        <v>1535</v>
      </c>
      <c r="E46" s="368"/>
      <c r="F46" s="368"/>
      <c r="G46" s="368" t="s">
        <v>374</v>
      </c>
      <c r="H46" s="368"/>
      <c r="I46" s="368"/>
      <c r="J46" s="368"/>
      <c r="K46" s="368"/>
      <c r="L46" s="368"/>
      <c r="M46" s="368"/>
      <c r="N46" s="368"/>
      <c r="O46" s="368"/>
      <c r="P46" s="368"/>
      <c r="Q46" s="1443">
        <f>page_fn_OFFSET</f>
        <v>34</v>
      </c>
    </row>
    <row r="47" spans="4:17" ht="12.75" customHeight="1">
      <c r="D47" s="368" t="s">
        <v>1564</v>
      </c>
      <c r="E47" s="368"/>
      <c r="F47" s="368"/>
      <c r="G47" s="368" t="s">
        <v>1340</v>
      </c>
      <c r="H47" s="368"/>
      <c r="I47" s="368"/>
      <c r="J47" s="368"/>
      <c r="K47" s="368"/>
      <c r="L47" s="368"/>
      <c r="M47" s="368"/>
      <c r="N47" s="368"/>
      <c r="O47" s="368"/>
      <c r="P47" s="368"/>
      <c r="Q47" s="1443">
        <f>page_fn_AND</f>
        <v>22</v>
      </c>
    </row>
    <row r="48" spans="4:17" ht="12.75" customHeight="1">
      <c r="D48" s="368" t="s">
        <v>1562</v>
      </c>
      <c r="E48" s="368"/>
      <c r="F48" s="368"/>
      <c r="G48" s="368" t="s">
        <v>726</v>
      </c>
      <c r="H48" s="368"/>
      <c r="I48" s="368"/>
      <c r="J48" s="368"/>
      <c r="K48" s="368"/>
      <c r="L48" s="368"/>
      <c r="M48" s="368"/>
      <c r="N48" s="368"/>
      <c r="O48" s="368"/>
      <c r="P48" s="368"/>
      <c r="Q48" s="1443">
        <f>page_fn_LEFT</f>
        <v>30</v>
      </c>
    </row>
    <row r="49" spans="3:17" ht="12.75" customHeight="1">
      <c r="D49" s="368" t="s">
        <v>1547</v>
      </c>
      <c r="E49" s="368"/>
      <c r="F49" s="368"/>
      <c r="G49" s="368" t="s">
        <v>375</v>
      </c>
      <c r="H49" s="368"/>
      <c r="I49" s="368"/>
      <c r="J49" s="368"/>
      <c r="K49" s="368"/>
      <c r="L49" s="368"/>
      <c r="M49" s="368"/>
      <c r="N49" s="368"/>
      <c r="O49" s="368"/>
      <c r="P49" s="368"/>
      <c r="Q49" s="1443">
        <f>page_fn_SUM</f>
        <v>35</v>
      </c>
    </row>
    <row r="50" spans="3:17" ht="12.75" customHeight="1">
      <c r="D50" s="368" t="s">
        <v>1544</v>
      </c>
      <c r="E50" s="368"/>
      <c r="F50" s="368"/>
      <c r="G50" s="368" t="s">
        <v>728</v>
      </c>
      <c r="H50" s="368"/>
      <c r="I50" s="368"/>
      <c r="J50" s="368"/>
      <c r="K50" s="368"/>
      <c r="L50" s="368"/>
      <c r="M50" s="368"/>
      <c r="N50" s="368"/>
      <c r="O50" s="368"/>
      <c r="P50" s="368"/>
      <c r="Q50" s="1443">
        <f>page_fn_SUMPRODUCT</f>
        <v>36</v>
      </c>
    </row>
    <row r="51" spans="3:17" ht="12.75" customHeight="1">
      <c r="D51" s="368" t="s">
        <v>1389</v>
      </c>
      <c r="E51" s="368"/>
      <c r="F51" s="368"/>
      <c r="G51" s="368" t="s">
        <v>376</v>
      </c>
      <c r="H51" s="368"/>
      <c r="I51" s="368"/>
      <c r="J51" s="368"/>
      <c r="K51" s="368"/>
      <c r="L51" s="368"/>
      <c r="M51" s="368"/>
      <c r="N51" s="368"/>
      <c r="O51" s="368"/>
      <c r="P51" s="368"/>
      <c r="Q51" s="1443">
        <f>page_fn_VLOOKUP</f>
        <v>37</v>
      </c>
    </row>
    <row r="52" spans="3:17" ht="12.75" customHeight="1">
      <c r="D52" s="600"/>
      <c r="E52" s="600"/>
      <c r="F52" s="600"/>
      <c r="Q52" s="975"/>
    </row>
    <row r="53" spans="3:17" ht="12.75" customHeight="1">
      <c r="C53" s="1465" t="str">
        <f>title_ch_3</f>
        <v>Chapter 3 - Combining Functions</v>
      </c>
      <c r="D53" s="1466"/>
      <c r="E53" s="1466"/>
      <c r="F53" s="1466"/>
      <c r="G53" s="1466"/>
      <c r="Q53" s="975"/>
    </row>
    <row r="54" spans="3:17" ht="12.75" customHeight="1">
      <c r="D54" s="1467" t="str">
        <f>hh_LARGE_quartile</f>
        <v>Quartiles</v>
      </c>
      <c r="E54" s="1467"/>
      <c r="F54" s="1467"/>
      <c r="G54" s="368" t="s">
        <v>1048</v>
      </c>
      <c r="H54" s="368"/>
      <c r="I54" s="368"/>
      <c r="J54" s="368"/>
      <c r="K54" s="368"/>
      <c r="L54" s="368"/>
      <c r="M54" s="368"/>
      <c r="N54" s="368"/>
      <c r="O54" s="368"/>
      <c r="P54" s="368"/>
      <c r="Q54" s="1443">
        <f>page_Combine_1</f>
        <v>38</v>
      </c>
    </row>
    <row r="55" spans="3:17" ht="12.75" customHeight="1">
      <c r="D55" s="1467" t="str">
        <f>Combine_2!C3</f>
        <v>Complex counting</v>
      </c>
      <c r="E55" s="1467"/>
      <c r="F55" s="1467"/>
      <c r="G55" s="368" t="s">
        <v>1049</v>
      </c>
      <c r="H55" s="368"/>
      <c r="I55" s="368"/>
      <c r="J55" s="368"/>
      <c r="K55" s="368"/>
      <c r="L55" s="368"/>
      <c r="M55" s="368"/>
      <c r="N55" s="368"/>
      <c r="O55" s="368"/>
      <c r="P55" s="368"/>
      <c r="Q55" s="1443">
        <f>page_Combine_2</f>
        <v>39</v>
      </c>
    </row>
    <row r="56" spans="3:17" ht="12.75" customHeight="1">
      <c r="D56" s="1467" t="str">
        <f>Combine_3!C3</f>
        <v>2D lookups</v>
      </c>
      <c r="E56" s="1467"/>
      <c r="F56" s="1467"/>
      <c r="G56" s="368" t="s">
        <v>1063</v>
      </c>
      <c r="H56" s="368"/>
      <c r="I56" s="368"/>
      <c r="J56" s="368"/>
      <c r="K56" s="368"/>
      <c r="L56" s="368"/>
      <c r="M56" s="368"/>
      <c r="N56" s="368"/>
      <c r="O56" s="368"/>
      <c r="P56" s="368"/>
      <c r="Q56" s="1443">
        <f>page_Combine_3</f>
        <v>40</v>
      </c>
    </row>
    <row r="57" spans="3:17" ht="12.75" customHeight="1">
      <c r="D57" s="1467" t="s">
        <v>330</v>
      </c>
      <c r="E57" s="1468"/>
      <c r="F57" s="1468"/>
      <c r="G57" s="368" t="s">
        <v>331</v>
      </c>
      <c r="H57" s="368"/>
      <c r="I57" s="368"/>
      <c r="J57" s="368"/>
      <c r="K57" s="368"/>
      <c r="L57" s="368"/>
      <c r="M57" s="368"/>
      <c r="N57" s="368"/>
      <c r="O57" s="368"/>
      <c r="P57" s="368"/>
      <c r="Q57" s="1443">
        <f>page_Combine_4</f>
        <v>41</v>
      </c>
    </row>
    <row r="58" spans="3:17" ht="12.75" customHeight="1">
      <c r="D58" s="600"/>
      <c r="E58" s="600"/>
      <c r="F58" s="600"/>
      <c r="Q58" s="975"/>
    </row>
    <row r="59" spans="3:17" ht="12.75" customHeight="1">
      <c r="C59" s="1469" t="str">
        <f>title_ch_4</f>
        <v>Chapter 4 - Exercises</v>
      </c>
      <c r="D59" s="1470"/>
      <c r="E59" s="1470"/>
      <c r="F59" s="1470"/>
      <c r="Q59" s="975"/>
    </row>
    <row r="60" spans="3:17" ht="12.75" customHeight="1">
      <c r="D60" s="1467" t="str">
        <f>hh_IF_compound</f>
        <v>Compound IF functions</v>
      </c>
      <c r="E60" s="1467"/>
      <c r="F60" s="1467"/>
      <c r="G60" s="368" t="s">
        <v>370</v>
      </c>
      <c r="H60" s="368"/>
      <c r="I60" s="368"/>
      <c r="J60" s="368"/>
      <c r="K60" s="368"/>
      <c r="L60" s="368"/>
      <c r="M60" s="368"/>
      <c r="N60" s="368"/>
      <c r="O60" s="368"/>
      <c r="P60" s="368"/>
      <c r="Q60" s="1443">
        <f>page_Ex_1</f>
        <v>42</v>
      </c>
    </row>
    <row r="61" spans="3:17" ht="12.75" customHeight="1">
      <c r="D61" s="1467" t="str">
        <f>hh_conditional_counting</f>
        <v>Conditional counting</v>
      </c>
      <c r="E61" s="1467"/>
      <c r="F61" s="1467"/>
      <c r="G61" s="368" t="s">
        <v>43</v>
      </c>
      <c r="H61" s="368"/>
      <c r="I61" s="368"/>
      <c r="J61" s="368"/>
      <c r="K61" s="368"/>
      <c r="L61" s="368"/>
      <c r="M61" s="368"/>
      <c r="N61" s="368"/>
      <c r="O61" s="368"/>
      <c r="P61" s="368"/>
      <c r="Q61" s="1443">
        <f>page_Ex_3</f>
        <v>43</v>
      </c>
    </row>
    <row r="62" spans="3:17" ht="12.75" customHeight="1">
      <c r="D62" s="1467" t="str">
        <f>hh_ex_cashflows</f>
        <v>Tracking cashflows</v>
      </c>
      <c r="E62" s="1467"/>
      <c r="F62" s="1467"/>
      <c r="G62" s="368" t="s">
        <v>469</v>
      </c>
      <c r="H62" s="368"/>
      <c r="I62" s="368"/>
      <c r="J62" s="368"/>
      <c r="K62" s="368"/>
      <c r="L62" s="368"/>
      <c r="M62" s="368"/>
      <c r="N62" s="368"/>
      <c r="O62" s="368"/>
      <c r="P62" s="368"/>
      <c r="Q62" s="1443">
        <f>page_Ex_Acc_Bal</f>
        <v>44</v>
      </c>
    </row>
    <row r="63" spans="3:17" ht="12.75" customHeight="1">
      <c r="D63" s="1467" t="str">
        <f>hh_ex_interpolating</f>
        <v>Interpolating</v>
      </c>
      <c r="E63" s="1467"/>
      <c r="F63" s="1467"/>
      <c r="G63" s="368" t="s">
        <v>1064</v>
      </c>
      <c r="H63" s="368"/>
      <c r="I63" s="368"/>
      <c r="J63" s="368"/>
      <c r="K63" s="368"/>
      <c r="L63" s="368"/>
      <c r="M63" s="368"/>
      <c r="N63" s="368"/>
      <c r="O63" s="368"/>
      <c r="P63" s="368"/>
      <c r="Q63" s="1443">
        <f>page_Ex_2</f>
        <v>45</v>
      </c>
    </row>
    <row r="64" spans="3:17" ht="12.75" customHeight="1">
      <c r="D64" s="1467" t="str">
        <f>hh_ex_complex_lookups</f>
        <v>Complex lookups</v>
      </c>
      <c r="E64" s="1467"/>
      <c r="F64" s="1467"/>
      <c r="G64" s="368" t="s">
        <v>1184</v>
      </c>
      <c r="H64" s="368"/>
      <c r="I64" s="368"/>
      <c r="J64" s="368"/>
      <c r="K64" s="368"/>
      <c r="L64" s="368"/>
      <c r="M64" s="368"/>
      <c r="N64" s="368"/>
      <c r="O64" s="368"/>
      <c r="P64" s="368"/>
      <c r="Q64" s="1443">
        <f>page_Ex_4</f>
        <v>46</v>
      </c>
    </row>
    <row r="65" spans="3:18" ht="12.75" customHeight="1">
      <c r="D65" s="1467" t="s">
        <v>426</v>
      </c>
      <c r="E65" s="1467"/>
      <c r="F65" s="1467"/>
      <c r="G65" s="368" t="s">
        <v>29</v>
      </c>
      <c r="H65" s="368"/>
      <c r="I65" s="368"/>
      <c r="J65" s="368"/>
      <c r="K65" s="368"/>
      <c r="L65" s="368"/>
      <c r="M65" s="368"/>
      <c r="N65" s="368"/>
      <c r="O65" s="368"/>
      <c r="P65" s="368"/>
      <c r="Q65" s="1443">
        <f>page_Ex_Status</f>
        <v>47</v>
      </c>
    </row>
    <row r="66" spans="3:18" ht="12.75" customHeight="1">
      <c r="D66" s="600"/>
      <c r="E66" s="600"/>
      <c r="F66" s="600"/>
      <c r="Q66" s="1202"/>
    </row>
    <row r="67" spans="3:18" ht="12.75" customHeight="1">
      <c r="C67" s="1201" t="str">
        <f>title_ch_5</f>
        <v>Chapter 5 - Next steps</v>
      </c>
      <c r="D67" s="600"/>
      <c r="E67" s="600"/>
      <c r="F67" s="600"/>
      <c r="Q67" s="1202"/>
    </row>
    <row r="68" spans="3:18" ht="12.75" customHeight="1">
      <c r="D68" s="368" t="s">
        <v>532</v>
      </c>
      <c r="E68" s="368"/>
      <c r="F68" s="368"/>
      <c r="G68" s="368" t="s">
        <v>470</v>
      </c>
      <c r="H68" s="368"/>
      <c r="I68" s="368"/>
      <c r="J68" s="368"/>
      <c r="K68" s="368"/>
      <c r="L68" s="368"/>
      <c r="M68" s="368"/>
      <c r="N68" s="368"/>
      <c r="O68" s="368"/>
      <c r="P68" s="368"/>
      <c r="Q68" s="1444">
        <f>page_Next</f>
        <v>48</v>
      </c>
    </row>
    <row r="69" spans="3:18" ht="12.75" customHeight="1">
      <c r="D69" s="600"/>
      <c r="E69" s="600"/>
      <c r="F69" s="600"/>
      <c r="Q69" s="1202"/>
    </row>
    <row r="70" spans="3:18" ht="12.75" customHeight="1">
      <c r="C70" s="1005" t="str">
        <f>title_index</f>
        <v>Index</v>
      </c>
      <c r="D70" s="1130"/>
      <c r="E70" s="1130"/>
      <c r="F70" s="1130"/>
    </row>
    <row r="71" spans="3:18" ht="12.75" customHeight="1">
      <c r="D71" s="368" t="s">
        <v>1066</v>
      </c>
      <c r="E71" s="368"/>
      <c r="F71" s="368"/>
      <c r="G71" s="368" t="s">
        <v>705</v>
      </c>
      <c r="H71" s="368"/>
      <c r="I71" s="368"/>
      <c r="J71" s="368"/>
      <c r="K71" s="368"/>
      <c r="L71" s="368"/>
      <c r="M71" s="368"/>
      <c r="N71" s="368"/>
      <c r="O71" s="368"/>
      <c r="P71" s="368"/>
      <c r="Q71" s="1444">
        <f>page_Indexx</f>
        <v>49</v>
      </c>
    </row>
    <row r="72" spans="3:18" ht="12.75" customHeight="1">
      <c r="D72" s="600"/>
      <c r="E72" s="600"/>
      <c r="F72" s="600"/>
      <c r="Q72" s="1202"/>
    </row>
    <row r="73" spans="3:18" ht="12.75" customHeight="1">
      <c r="F73" s="1475" t="str">
        <f>back_to_index</f>
        <v>Back to contents</v>
      </c>
      <c r="G73" s="1475"/>
      <c r="H73" s="1474" t="str">
        <f>page_prefix&amp; page_Aggregating &amp; page_suffix</f>
        <v>- Page 3 -</v>
      </c>
      <c r="I73" s="1471"/>
      <c r="J73" s="1471"/>
      <c r="K73" s="1471"/>
      <c r="L73" s="1471"/>
      <c r="M73" s="1471"/>
      <c r="P73" s="1475" t="str">
        <f>back_to_top</f>
        <v>Back to top</v>
      </c>
      <c r="Q73" s="1471"/>
      <c r="R73" s="1471"/>
    </row>
    <row r="74" spans="3:18" ht="12.75" customHeight="1">
      <c r="H74" s="1474" t="str">
        <f>copyright</f>
        <v>Copyright (c) 2009 Tykoh Group Pty Limited</v>
      </c>
      <c r="I74" s="1471"/>
      <c r="J74" s="1471"/>
      <c r="K74" s="1471"/>
      <c r="L74" s="1471"/>
      <c r="M74" s="1471"/>
    </row>
    <row r="75" spans="3:18" ht="13.5" customHeight="1">
      <c r="H75" s="1476" t="str">
        <f>home_address</f>
        <v>www.tykoh.com</v>
      </c>
      <c r="I75" s="1452"/>
      <c r="J75" s="1452"/>
      <c r="K75" s="1452"/>
      <c r="L75" s="1452"/>
      <c r="M75" s="1452"/>
    </row>
    <row r="76" spans="3:18" ht="12.75" customHeight="1"/>
  </sheetData>
  <sheetProtection algorithmName="SHA-512" hashValue="kljHmRbuZGyy1yZ9O9jzoxyYuXH1fX3LJbOrMP5lQWa1XneQW4qpPxFPmEDV1n4iqsto46wAD+NIV93il9JTQQ==" saltValue="K7287d+aCkRznp9xEhCVBg==" spinCount="100000" sheet="1" objects="1" scenarios="1"/>
  <mergeCells count="39">
    <mergeCell ref="H75:M75"/>
    <mergeCell ref="P73:R73"/>
    <mergeCell ref="H3:M3"/>
    <mergeCell ref="I2:M2"/>
    <mergeCell ref="G5:P5"/>
    <mergeCell ref="G6:P6"/>
    <mergeCell ref="G9:P9"/>
    <mergeCell ref="G10:P10"/>
    <mergeCell ref="G11:P11"/>
    <mergeCell ref="G12:P12"/>
    <mergeCell ref="H74:M74"/>
    <mergeCell ref="G20:P20"/>
    <mergeCell ref="G21:P21"/>
    <mergeCell ref="G23:P23"/>
    <mergeCell ref="G22:P22"/>
    <mergeCell ref="G24:P24"/>
    <mergeCell ref="F73:G73"/>
    <mergeCell ref="H73:M73"/>
    <mergeCell ref="D54:F54"/>
    <mergeCell ref="D55:F55"/>
    <mergeCell ref="C4:H4"/>
    <mergeCell ref="C29:J29"/>
    <mergeCell ref="C59:F59"/>
    <mergeCell ref="C8:H8"/>
    <mergeCell ref="G15:P15"/>
    <mergeCell ref="G16:P16"/>
    <mergeCell ref="G17:P17"/>
    <mergeCell ref="G18:P18"/>
    <mergeCell ref="G26:P26"/>
    <mergeCell ref="G13:P13"/>
    <mergeCell ref="C53:G53"/>
    <mergeCell ref="D64:F64"/>
    <mergeCell ref="D65:F65"/>
    <mergeCell ref="D56:F56"/>
    <mergeCell ref="D60:F60"/>
    <mergeCell ref="D61:F61"/>
    <mergeCell ref="D63:F63"/>
    <mergeCell ref="D57:F57"/>
    <mergeCell ref="D62:F62"/>
  </mergeCells>
  <phoneticPr fontId="2" type="noConversion"/>
  <conditionalFormatting sqref="I4:R4 G54:G71 E54:F56 E58:F71 H5:R71 C4:C71 D5:G52 D54:D71">
    <cfRule type="expression" dxfId="100" priority="1" stopIfTrue="1">
      <formula>MOD(ROW(4:4),2)=1</formula>
    </cfRule>
  </conditionalFormatting>
  <hyperlinks>
    <hyperlink ref="F73:G73" location="hh_index" display="hh_index" xr:uid="{00000000-0004-0000-0100-000000000000}"/>
    <hyperlink ref="C4" location="hh_about" display="hh_about" xr:uid="{00000000-0004-0000-0100-000001000000}"/>
    <hyperlink ref="C4:F4" location="hh_about" display="hh_about" xr:uid="{00000000-0004-0000-0100-000002000000}"/>
    <hyperlink ref="C8:H8" location="hh_aggregating" display="hh_aggregating" xr:uid="{00000000-0004-0000-0100-000003000000}"/>
    <hyperlink ref="C29" location="hh_fn_CHOOSE" display="hh_fn_CHOOSE" xr:uid="{00000000-0004-0000-0100-000004000000}"/>
    <hyperlink ref="C59" location="hh_Ex_1" display="hh_Ex_1" xr:uid="{00000000-0004-0000-0100-000005000000}"/>
    <hyperlink ref="C70" location="hh_indexx" display="hh_indexx" xr:uid="{00000000-0004-0000-0100-000006000000}"/>
    <hyperlink ref="C70:F70" location="hh_indexx" display="hh_indexx" xr:uid="{00000000-0004-0000-0100-000007000000}"/>
    <hyperlink ref="D54:F54" location="hh_Combine_1" display="hh_Combine_1" xr:uid="{00000000-0004-0000-0100-000008000000}"/>
    <hyperlink ref="D55:F55" location="hh_Combine_2" display="hh_Combine_2" xr:uid="{00000000-0004-0000-0100-000009000000}"/>
    <hyperlink ref="D56:F56" location="hh_Combine_3" display="hh_Combine_3" xr:uid="{00000000-0004-0000-0100-00000A000000}"/>
    <hyperlink ref="D60:F60" location="page_Ex_1" display="Barriers &amp; thresholds" xr:uid="{00000000-0004-0000-0100-00000B000000}"/>
    <hyperlink ref="D61:F61" location="hh_Ex_3" display="hh_Ex_3" xr:uid="{00000000-0004-0000-0100-00000C000000}"/>
    <hyperlink ref="D63:F63" location="hh_Ex_2" display="Interpolating" xr:uid="{00000000-0004-0000-0100-00000D000000}"/>
    <hyperlink ref="D64:F64" location="hh_Ex_4" display="Complex look ups" xr:uid="{00000000-0004-0000-0100-00000E000000}"/>
    <hyperlink ref="C53:G53" location="hh_Combine_1" display="hh_Combine_1" xr:uid="{00000000-0004-0000-0100-00000F000000}"/>
    <hyperlink ref="D62:F62" location="hh_Ex_Acc_Bal" display="hh_Ex_Acc_Bal" xr:uid="{00000000-0004-0000-0100-000010000000}"/>
    <hyperlink ref="H75:M75" r:id="rId1" display="https://www.tykoh.com/" xr:uid="{00000000-0004-0000-0100-000011000000}"/>
    <hyperlink ref="D5:Q5" location="hh_About" display="hh_About" xr:uid="{00000000-0004-0000-0100-000012000000}"/>
    <hyperlink ref="D6:Q6" location="hh_Index" display="hh_Index" xr:uid="{00000000-0004-0000-0100-000013000000}"/>
    <hyperlink ref="D9:Q9" location="hh_Aggregating" display="hh_Aggregating" xr:uid="{00000000-0004-0000-0100-000014000000}"/>
    <hyperlink ref="D10:Q10" location="hh_Averaging" display="hh_Averaging" xr:uid="{00000000-0004-0000-0100-000015000000}"/>
    <hyperlink ref="D11:Q11" location="hh_Charting" display="hh_Charting" xr:uid="{00000000-0004-0000-0100-000016000000}"/>
    <hyperlink ref="D12:Q12" location="hh_Highlighting" display="hh_Highlighting" xr:uid="{00000000-0004-0000-0100-000017000000}"/>
    <hyperlink ref="D13:Q13" location="hh_Filtering" display="hh_Filtering" xr:uid="{00000000-0004-0000-0100-000018000000}"/>
    <hyperlink ref="D14:Q14" location="hh_RateSensitising" display="hh_RateSensitising" xr:uid="{00000000-0004-0000-0100-000019000000}"/>
    <hyperlink ref="D15:Q15" location="hh_Interpolating" display="hh_Interpolating" xr:uid="{00000000-0004-0000-0100-00001A000000}"/>
    <hyperlink ref="D16:Q16" location="hh_Looking_Up" display="hh_Looking_Up" xr:uid="{00000000-0004-0000-0100-00001B000000}"/>
    <hyperlink ref="D17:Q17" location="hh_Prioritising" display="hh_Prioritising" xr:uid="{00000000-0004-0000-0100-00001C000000}"/>
    <hyperlink ref="D18:Q18" location="hh_Ranking" display="hh_Ranking" xr:uid="{00000000-0004-0000-0100-00001D000000}"/>
    <hyperlink ref="D19:Q19" location="hh_Rounding" display="hh_Rounding" xr:uid="{00000000-0004-0000-0100-00001E000000}"/>
    <hyperlink ref="D20:Q20" location="hh_Scenario_Analysing" display="hh_Scenario_Analysing" xr:uid="{00000000-0004-0000-0100-00001F000000}"/>
    <hyperlink ref="D21:Q21" location="hh_Scheduling" display="hh_Scheduling" xr:uid="{00000000-0004-0000-0100-000020000000}"/>
    <hyperlink ref="D22:Q22" location="hh_Seasonalising" display="hh_Seasonalising" xr:uid="{00000000-0004-0000-0100-000021000000}"/>
    <hyperlink ref="D23:Q23" location="hh_Sensitising_Value" display="hh_Sensitising_Value" xr:uid="{00000000-0004-0000-0100-000022000000}"/>
    <hyperlink ref="D24:Q24" location="hh_Valuing_Option" display="hh_Valuing_Option" xr:uid="{00000000-0004-0000-0100-000023000000}"/>
    <hyperlink ref="D25:Q25" location="hh_VB" display="hh_VB" xr:uid="{00000000-0004-0000-0100-000024000000}"/>
    <hyperlink ref="D26:Q26" location="hh_xref" display="hh_xref" xr:uid="{00000000-0004-0000-0100-000025000000}"/>
    <hyperlink ref="D27:Q27" location="hh_xref" display="hh_xref" xr:uid="{00000000-0004-0000-0100-000026000000}"/>
    <hyperlink ref="D30:Q30" location="hh_fn_ABS" display="hh_fn_ABS" xr:uid="{00000000-0004-0000-0100-000027000000}"/>
    <hyperlink ref="D31:Q31" location="hh_fn_AND" display="hh_fn_AND" xr:uid="{00000000-0004-0000-0100-000028000000}"/>
    <hyperlink ref="D32:Q32" location="hh_fn_AVERAGE" display="hh_fn_AVERAGE" xr:uid="{00000000-0004-0000-0100-000029000000}"/>
    <hyperlink ref="D33:Q33" location="hh_fn_CHOOSE" display="hh_fn_CHOOSE" xr:uid="{00000000-0004-0000-0100-00002A000000}"/>
    <hyperlink ref="D34:Q34" location="hh_fn_COUNT" display="hh_fn_COUNT" xr:uid="{00000000-0004-0000-0100-00002B000000}"/>
    <hyperlink ref="D35:Q35" location="hh_fn_COUNTIF" display="hh_fn_COUNTIF" xr:uid="{00000000-0004-0000-0100-00002C000000}"/>
    <hyperlink ref="D36:Q36" location="hh_fn_IF" display="hh_fn_IF" xr:uid="{00000000-0004-0000-0100-00002D000000}"/>
    <hyperlink ref="D37:Q37" location="hh_fn_ISNA" display="hh_fn_ISNA" xr:uid="{00000000-0004-0000-0100-00002E000000}"/>
    <hyperlink ref="D38:Q38" location="hh_fn_LARGE" display="hh_fn_LARGE" xr:uid="{00000000-0004-0000-0100-00002F000000}"/>
    <hyperlink ref="D39:Q39" location="hh_fn_LEFT" display="hh_fn_LEFT" xr:uid="{00000000-0004-0000-0100-000030000000}"/>
    <hyperlink ref="D40:Q40" location="hh_fn_LEFT" display="hh_fn_LEFT" xr:uid="{00000000-0004-0000-0100-000031000000}"/>
    <hyperlink ref="D41:Q41" location="hh_fn_LOOKUP" display="hh_fn_LOOKUP" xr:uid="{00000000-0004-0000-0100-000032000000}"/>
    <hyperlink ref="D42:Q42" location="hh_fn_MATCH" display="hh_fn_MATCH" xr:uid="{00000000-0004-0000-0100-000033000000}"/>
    <hyperlink ref="D43:Q43" location="hh_fn_MAX" display="hh_fn_MAX" xr:uid="{00000000-0004-0000-0100-000034000000}"/>
    <hyperlink ref="D44:Q44" location="hh_fn_LEFT" display="hh_fn_LEFT" xr:uid="{00000000-0004-0000-0100-000035000000}"/>
    <hyperlink ref="D45:Q45" location="hh_fn_MAX" display="hh_fn_MAX" xr:uid="{00000000-0004-0000-0100-000036000000}"/>
    <hyperlink ref="D46:Q46" location="hh_fn_OFFSET" display="hh_fn_OFFSET" xr:uid="{00000000-0004-0000-0100-000037000000}"/>
    <hyperlink ref="D47:Q47" location="hh_fn_AND" display="hh_fn_AND" xr:uid="{00000000-0004-0000-0100-000038000000}"/>
    <hyperlink ref="D48:Q48" location="hh_fn_LEFT" display="hh_fn_LEFT" xr:uid="{00000000-0004-0000-0100-000039000000}"/>
    <hyperlink ref="D49:Q49" location="hh_fn_SUM" display="hh_fn_SUM" xr:uid="{00000000-0004-0000-0100-00003A000000}"/>
    <hyperlink ref="D50:Q50" location="hh_fn_SUMPRODUCT" display="hh_fn_SUMPRODUCT" xr:uid="{00000000-0004-0000-0100-00003B000000}"/>
    <hyperlink ref="D51:Q51" location="hh_fn_VLOOKUP" display="hh_fn_VLOOKUP" xr:uid="{00000000-0004-0000-0100-00003C000000}"/>
    <hyperlink ref="D54:Q54" location="hh_Combine_1" display="hh_Combine_1" xr:uid="{00000000-0004-0000-0100-00003D000000}"/>
    <hyperlink ref="D55:Q55" location="hh_Combine_2" display="hh_Combine_2" xr:uid="{00000000-0004-0000-0100-00003E000000}"/>
    <hyperlink ref="D56:Q56" location="hh_Combine_3" display="hh_Combine_3" xr:uid="{00000000-0004-0000-0100-00003F000000}"/>
    <hyperlink ref="D57:Q57" location="hh_Combine_4" display="hh_Combine_4" xr:uid="{00000000-0004-0000-0100-000040000000}"/>
    <hyperlink ref="D60:Q60" location="hh_Ex_1" display="hh_Ex_1" xr:uid="{00000000-0004-0000-0100-000041000000}"/>
    <hyperlink ref="D61:Q61" location="hh_Ex_3" display="hh_Ex_3" xr:uid="{00000000-0004-0000-0100-000042000000}"/>
    <hyperlink ref="D62:Q62" location="hh_Ex_Acc_Bal" display="hh_Ex_Acc_Bal" xr:uid="{00000000-0004-0000-0100-000043000000}"/>
    <hyperlink ref="D63:Q63" location="hh_Ex_2" display="hh_Ex_2" xr:uid="{00000000-0004-0000-0100-000044000000}"/>
    <hyperlink ref="D64:Q64" location="hh_Ex_4" display="hh_Ex_4" xr:uid="{00000000-0004-0000-0100-000045000000}"/>
    <hyperlink ref="D65:Q65" location="hh_Ex_Status" display="hh_Ex_Status" xr:uid="{00000000-0004-0000-0100-000046000000}"/>
    <hyperlink ref="D68:Q68" location="hh_Next" display="hh_Next" xr:uid="{00000000-0004-0000-0100-000047000000}"/>
    <hyperlink ref="D71:Q71" location="hh_Indexx" display="hh_Indexx" xr:uid="{00000000-0004-0000-0100-000048000000}"/>
  </hyperlinks>
  <pageMargins left="0.75" right="0.75" top="1" bottom="1" header="0.5" footer="0.5"/>
  <pageSetup scale="66"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N150"/>
  <sheetViews>
    <sheetView showGridLines="0" showRowColHeaders="0" topLeftCell="A130" zoomScaleNormal="100" zoomScaleSheetLayoutView="100" workbookViewId="0">
      <selection activeCell="G149" sqref="G149:I149"/>
    </sheetView>
  </sheetViews>
  <sheetFormatPr defaultColWidth="0" defaultRowHeight="12.5" zeroHeight="1"/>
  <cols>
    <col min="1" max="2" width="1" style="32" customWidth="1"/>
    <col min="3" max="3" width="25" style="32" customWidth="1"/>
    <col min="4" max="4" width="18" style="32" hidden="1" customWidth="1"/>
    <col min="5" max="5" width="7.26953125" style="32" customWidth="1"/>
    <col min="6" max="6" width="10.54296875" style="32" customWidth="1"/>
    <col min="7" max="13" width="10.81640625" style="32" customWidth="1"/>
    <col min="14" max="14" width="1.81640625" style="32" customWidth="1"/>
    <col min="15" max="16384" width="0" style="32" hidden="1"/>
  </cols>
  <sheetData>
    <row r="1" spans="3:14" s="33" customFormat="1"/>
    <row r="2" spans="3:14" s="33" customFormat="1">
      <c r="C2" s="103"/>
      <c r="D2" s="103"/>
      <c r="E2" s="103"/>
      <c r="F2" s="103"/>
      <c r="G2" s="1494"/>
      <c r="H2" s="1494"/>
      <c r="I2" s="1494"/>
      <c r="J2" s="103"/>
      <c r="K2" s="103"/>
      <c r="L2" s="103"/>
      <c r="M2" s="103"/>
    </row>
    <row r="3" spans="3:14" s="33" customFormat="1" ht="16" thickBot="1">
      <c r="C3" s="99" t="s">
        <v>385</v>
      </c>
    </row>
    <row r="4" spans="3:14" ht="13.5" customHeight="1" thickTop="1">
      <c r="C4" s="33"/>
      <c r="D4" s="33"/>
      <c r="E4" s="33"/>
      <c r="F4" s="33"/>
      <c r="G4" s="33"/>
      <c r="H4" s="33"/>
      <c r="I4" s="33"/>
      <c r="J4" s="33"/>
      <c r="K4" s="1521" t="str">
        <f ca="1">OFFSET(ad_first,OFFSET(ads_top,ROW(ads_scenario_analysing)-1,1),0)</f>
        <v>Our Visual Basic course shows how to extend or change Microsoft Office products' functionality</v>
      </c>
      <c r="L4" s="1507"/>
      <c r="M4" s="1508"/>
      <c r="N4" s="33"/>
    </row>
    <row r="5" spans="3:14" ht="13">
      <c r="C5" s="1154" t="s">
        <v>140</v>
      </c>
      <c r="D5" s="369"/>
      <c r="E5" s="369"/>
      <c r="F5" s="369"/>
      <c r="G5" s="369"/>
      <c r="H5" s="369"/>
      <c r="I5" s="369"/>
      <c r="J5" s="369"/>
      <c r="K5" s="1509"/>
      <c r="L5" s="1510"/>
      <c r="M5" s="1511"/>
      <c r="N5" s="33"/>
    </row>
    <row r="6" spans="3:14">
      <c r="C6" s="1568" t="s">
        <v>290</v>
      </c>
      <c r="D6" s="1568"/>
      <c r="E6" s="1568"/>
      <c r="F6" s="1568"/>
      <c r="G6" s="1568"/>
      <c r="H6" s="1568"/>
      <c r="I6" s="1568"/>
      <c r="J6" s="1568"/>
      <c r="K6" s="1509"/>
      <c r="L6" s="1510"/>
      <c r="M6" s="1511"/>
      <c r="N6" s="33"/>
    </row>
    <row r="7" spans="3:14">
      <c r="C7" s="1568"/>
      <c r="D7" s="1568"/>
      <c r="E7" s="1568"/>
      <c r="F7" s="1568"/>
      <c r="G7" s="1568"/>
      <c r="H7" s="1568"/>
      <c r="I7" s="1568"/>
      <c r="J7" s="1568"/>
      <c r="K7" s="1509"/>
      <c r="L7" s="1510"/>
      <c r="M7" s="1511"/>
      <c r="N7" s="33"/>
    </row>
    <row r="8" spans="3:14" ht="13" thickBot="1">
      <c r="C8" s="1568"/>
      <c r="D8" s="1568"/>
      <c r="E8" s="1568"/>
      <c r="F8" s="1568"/>
      <c r="G8" s="1568"/>
      <c r="H8" s="1568"/>
      <c r="I8" s="1568"/>
      <c r="J8" s="1568"/>
      <c r="K8" s="1512"/>
      <c r="L8" s="1513"/>
      <c r="M8" s="1514"/>
      <c r="N8" s="33"/>
    </row>
    <row r="9" spans="3:14" ht="13" thickTop="1">
      <c r="C9" s="369"/>
      <c r="D9" s="369"/>
      <c r="E9" s="369"/>
      <c r="F9" s="369"/>
      <c r="G9" s="369"/>
      <c r="H9" s="369"/>
      <c r="I9" s="369"/>
      <c r="J9" s="369"/>
      <c r="K9" s="1310"/>
      <c r="L9" s="1311"/>
      <c r="M9" s="1311"/>
      <c r="N9" s="33"/>
    </row>
    <row r="10" spans="3:14" ht="8.25" customHeight="1">
      <c r="C10" s="369"/>
      <c r="D10" s="369"/>
      <c r="E10" s="369"/>
      <c r="F10" s="369"/>
      <c r="G10" s="369"/>
      <c r="H10" s="369"/>
      <c r="I10" s="369"/>
      <c r="J10" s="369"/>
      <c r="K10" s="1163"/>
      <c r="L10" s="1164"/>
      <c r="M10" s="1164"/>
      <c r="N10" s="33"/>
    </row>
    <row r="11" spans="3:14">
      <c r="C11" s="1568" t="s">
        <v>291</v>
      </c>
      <c r="D11" s="1568"/>
      <c r="E11" s="1568"/>
      <c r="F11" s="1568"/>
      <c r="G11" s="1568"/>
      <c r="H11" s="1568"/>
      <c r="I11" s="1568"/>
      <c r="J11" s="1568"/>
      <c r="K11" s="1568"/>
      <c r="L11" s="1568"/>
      <c r="M11" s="1568"/>
      <c r="N11" s="33"/>
    </row>
    <row r="12" spans="3:14">
      <c r="C12" s="1568"/>
      <c r="D12" s="1568"/>
      <c r="E12" s="1568"/>
      <c r="F12" s="1568"/>
      <c r="G12" s="1568"/>
      <c r="H12" s="1568"/>
      <c r="I12" s="1568"/>
      <c r="J12" s="1568"/>
      <c r="K12" s="1568"/>
      <c r="L12" s="1568"/>
      <c r="M12" s="1568"/>
      <c r="N12" s="33"/>
    </row>
    <row r="13" spans="3:14">
      <c r="C13" s="369"/>
      <c r="D13" s="369"/>
      <c r="E13" s="369"/>
      <c r="F13" s="369"/>
      <c r="G13" s="369"/>
      <c r="H13" s="369"/>
      <c r="I13" s="369"/>
      <c r="J13" s="369"/>
      <c r="K13" s="369"/>
      <c r="L13" s="369"/>
      <c r="M13" s="369"/>
      <c r="N13" s="33"/>
    </row>
    <row r="14" spans="3:14">
      <c r="C14" s="1568" t="s">
        <v>1135</v>
      </c>
      <c r="D14" s="1568"/>
      <c r="E14" s="1568"/>
      <c r="F14" s="1568"/>
      <c r="G14" s="1568"/>
      <c r="H14" s="1568"/>
      <c r="I14" s="1568"/>
      <c r="J14" s="1568"/>
      <c r="K14" s="1568"/>
      <c r="L14" s="1568"/>
      <c r="M14" s="1568"/>
      <c r="N14" s="33"/>
    </row>
    <row r="15" spans="3:14">
      <c r="C15" s="1568"/>
      <c r="D15" s="1568"/>
      <c r="E15" s="1568"/>
      <c r="F15" s="1568"/>
      <c r="G15" s="1568"/>
      <c r="H15" s="1568"/>
      <c r="I15" s="1568"/>
      <c r="J15" s="1568"/>
      <c r="K15" s="1568"/>
      <c r="L15" s="1568"/>
      <c r="M15" s="1568"/>
      <c r="N15" s="33"/>
    </row>
    <row r="16" spans="3:14">
      <c r="C16" s="369"/>
      <c r="D16" s="369"/>
      <c r="E16" s="369"/>
      <c r="F16" s="369"/>
      <c r="G16" s="369"/>
      <c r="H16" s="369"/>
      <c r="I16" s="369"/>
      <c r="J16" s="369"/>
      <c r="K16" s="369"/>
      <c r="L16" s="369"/>
      <c r="M16" s="369"/>
      <c r="N16" s="33"/>
    </row>
    <row r="17" spans="3:14">
      <c r="C17" s="369"/>
      <c r="D17" s="369"/>
      <c r="E17" s="369"/>
      <c r="F17" s="369"/>
      <c r="G17" s="369"/>
      <c r="H17" s="369"/>
      <c r="I17" s="369"/>
      <c r="J17" s="369"/>
      <c r="K17" s="369"/>
      <c r="L17" s="369"/>
      <c r="M17" s="369"/>
      <c r="N17" s="33"/>
    </row>
    <row r="18" spans="3:14">
      <c r="C18" s="369"/>
      <c r="D18" s="369"/>
      <c r="E18" s="369"/>
      <c r="F18" s="369"/>
      <c r="G18" s="369"/>
      <c r="H18" s="369"/>
      <c r="I18" s="369"/>
      <c r="J18" s="369"/>
      <c r="K18" s="369"/>
      <c r="L18" s="369"/>
      <c r="M18" s="369"/>
      <c r="N18" s="33"/>
    </row>
    <row r="19" spans="3:14">
      <c r="C19" s="370"/>
      <c r="D19" s="260"/>
      <c r="E19" s="260"/>
      <c r="F19" s="260"/>
      <c r="G19" s="260"/>
      <c r="H19" s="260"/>
      <c r="I19" s="260"/>
      <c r="J19" s="260"/>
      <c r="K19" s="260"/>
      <c r="L19" s="260"/>
      <c r="M19" s="261"/>
      <c r="N19" s="33"/>
    </row>
    <row r="20" spans="3:14">
      <c r="C20" s="262"/>
      <c r="D20" s="369"/>
      <c r="E20" s="1600"/>
      <c r="F20" s="371"/>
      <c r="G20" s="372"/>
      <c r="H20" s="372"/>
      <c r="I20" s="372"/>
      <c r="J20" s="373"/>
      <c r="K20" s="369"/>
      <c r="L20" s="369"/>
      <c r="M20" s="264"/>
      <c r="N20" s="33"/>
    </row>
    <row r="21" spans="3:14">
      <c r="C21" s="262"/>
      <c r="D21" s="369"/>
      <c r="E21" s="1600"/>
      <c r="F21" s="374"/>
      <c r="G21" s="375"/>
      <c r="H21" s="376" t="s">
        <v>365</v>
      </c>
      <c r="I21" s="375"/>
      <c r="J21" s="377"/>
      <c r="K21" s="369"/>
      <c r="L21" s="369"/>
      <c r="M21" s="264"/>
      <c r="N21" s="33"/>
    </row>
    <row r="22" spans="3:14">
      <c r="C22" s="262"/>
      <c r="D22" s="369"/>
      <c r="E22" s="1600"/>
      <c r="F22" s="378"/>
      <c r="G22" s="379"/>
      <c r="H22" s="379"/>
      <c r="I22" s="379"/>
      <c r="J22" s="380"/>
      <c r="K22" s="369"/>
      <c r="L22" s="369"/>
      <c r="M22" s="264"/>
      <c r="N22" s="33"/>
    </row>
    <row r="23" spans="3:14">
      <c r="C23" s="262"/>
      <c r="D23" s="369"/>
      <c r="E23" s="1600"/>
      <c r="F23" s="369"/>
      <c r="G23" s="369"/>
      <c r="H23" s="381"/>
      <c r="I23" s="369"/>
      <c r="J23" s="369"/>
      <c r="K23" s="369"/>
      <c r="L23" s="369"/>
      <c r="M23" s="264"/>
      <c r="N23" s="33"/>
    </row>
    <row r="24" spans="3:14">
      <c r="C24" s="262"/>
      <c r="D24" s="369"/>
      <c r="E24" s="1600"/>
      <c r="F24" s="382"/>
      <c r="G24" s="383"/>
      <c r="H24" s="384"/>
      <c r="I24" s="385"/>
      <c r="J24" s="382"/>
      <c r="K24" s="33"/>
      <c r="L24" s="369"/>
      <c r="M24" s="264"/>
      <c r="N24" s="33"/>
    </row>
    <row r="25" spans="3:14">
      <c r="C25" s="262"/>
      <c r="D25" s="369"/>
      <c r="E25" s="1600"/>
      <c r="F25" s="386"/>
      <c r="G25" s="387"/>
      <c r="H25" s="388" t="s">
        <v>384</v>
      </c>
      <c r="I25" s="389"/>
      <c r="J25" s="386"/>
      <c r="K25" s="33"/>
      <c r="L25" s="369"/>
      <c r="M25" s="264"/>
      <c r="N25" s="33"/>
    </row>
    <row r="26" spans="3:14">
      <c r="C26" s="262"/>
      <c r="D26" s="369"/>
      <c r="E26" s="1600"/>
      <c r="F26" s="390"/>
      <c r="G26" s="391"/>
      <c r="H26" s="392"/>
      <c r="I26" s="393"/>
      <c r="J26" s="390"/>
      <c r="K26" s="33"/>
      <c r="L26" s="369"/>
      <c r="M26" s="264"/>
      <c r="N26" s="33"/>
    </row>
    <row r="27" spans="3:14" s="125" customFormat="1">
      <c r="C27" s="394"/>
      <c r="D27" s="228"/>
      <c r="E27" s="395"/>
      <c r="F27" s="228"/>
      <c r="G27" s="228"/>
      <c r="H27" s="396"/>
      <c r="I27" s="228"/>
      <c r="J27" s="228"/>
      <c r="K27" s="80"/>
      <c r="L27" s="228"/>
      <c r="M27" s="397"/>
      <c r="N27" s="80"/>
    </row>
    <row r="28" spans="3:14">
      <c r="C28" s="262"/>
      <c r="D28" s="369"/>
      <c r="E28" s="1601"/>
      <c r="F28" s="398"/>
      <c r="G28" s="398"/>
      <c r="H28" s="399"/>
      <c r="I28" s="398"/>
      <c r="J28" s="398"/>
      <c r="K28" s="400"/>
      <c r="L28" s="369"/>
      <c r="M28" s="264"/>
      <c r="N28" s="33"/>
    </row>
    <row r="29" spans="3:14">
      <c r="C29" s="262"/>
      <c r="D29" s="369"/>
      <c r="E29" s="1602"/>
      <c r="F29" s="401"/>
      <c r="G29" s="401"/>
      <c r="H29" s="402" t="s">
        <v>368</v>
      </c>
      <c r="I29" s="401"/>
      <c r="J29" s="401"/>
      <c r="K29" s="403"/>
      <c r="L29" s="369"/>
      <c r="M29" s="264"/>
      <c r="N29" s="33"/>
    </row>
    <row r="30" spans="3:14">
      <c r="C30" s="262"/>
      <c r="D30" s="369"/>
      <c r="E30" s="1603"/>
      <c r="F30" s="404"/>
      <c r="G30" s="404"/>
      <c r="H30" s="404"/>
      <c r="I30" s="404"/>
      <c r="J30" s="404"/>
      <c r="K30" s="405"/>
      <c r="L30" s="369"/>
      <c r="M30" s="264"/>
      <c r="N30" s="33"/>
    </row>
    <row r="31" spans="3:14">
      <c r="C31" s="266"/>
      <c r="D31" s="267"/>
      <c r="E31" s="267"/>
      <c r="F31" s="267"/>
      <c r="G31" s="267"/>
      <c r="H31" s="267"/>
      <c r="I31" s="267"/>
      <c r="J31" s="267"/>
      <c r="K31" s="267"/>
      <c r="L31" s="267"/>
      <c r="M31" s="268"/>
      <c r="N31" s="33"/>
    </row>
    <row r="32" spans="3:14">
      <c r="C32" s="369"/>
      <c r="D32" s="369"/>
      <c r="E32" s="228"/>
      <c r="F32" s="228"/>
      <c r="G32" s="228"/>
      <c r="H32" s="228"/>
      <c r="I32" s="369"/>
      <c r="J32" s="369"/>
      <c r="K32" s="369"/>
      <c r="L32" s="369"/>
      <c r="M32" s="369"/>
      <c r="N32" s="33"/>
    </row>
    <row r="33" spans="2:14" ht="13">
      <c r="C33" s="1604" t="str">
        <f>functions_used</f>
        <v>Spreadsheet functions used in this example</v>
      </c>
      <c r="D33" s="1457"/>
      <c r="E33" s="1457"/>
      <c r="F33" s="1457"/>
      <c r="G33" s="1457"/>
      <c r="H33" s="1457"/>
      <c r="I33" s="1457"/>
      <c r="J33" s="1457"/>
      <c r="K33" s="1457"/>
      <c r="L33" s="1457"/>
      <c r="M33" s="1457"/>
      <c r="N33" s="33"/>
    </row>
    <row r="34" spans="2:14">
      <c r="C34" s="1568" t="str">
        <f>functions_Scenario_Analysing</f>
        <v>ABS, AND, Conditional format, COUNT, Data Table, EOMONTH, IF, MATCH, MAX, MIN, OFFSET, OR, ROW, SUM, XNPV</v>
      </c>
      <c r="D34" s="1568"/>
      <c r="E34" s="1568"/>
      <c r="F34" s="1568"/>
      <c r="G34" s="1568"/>
      <c r="H34" s="1568"/>
      <c r="I34" s="1568"/>
      <c r="J34" s="1568"/>
      <c r="K34" s="1568"/>
      <c r="L34" s="1568"/>
      <c r="M34" s="1568"/>
      <c r="N34" s="33"/>
    </row>
    <row r="35" spans="2:14">
      <c r="C35" s="1568"/>
      <c r="D35" s="1568"/>
      <c r="E35" s="1568"/>
      <c r="F35" s="1568"/>
      <c r="G35" s="1568"/>
      <c r="H35" s="1568"/>
      <c r="I35" s="1568"/>
      <c r="J35" s="1568"/>
      <c r="K35" s="1568"/>
      <c r="L35" s="1568"/>
      <c r="M35" s="1568"/>
      <c r="N35" s="33"/>
    </row>
    <row r="36" spans="2:14">
      <c r="B36" s="170"/>
      <c r="C36" s="406"/>
      <c r="D36" s="406"/>
      <c r="E36" s="406"/>
      <c r="F36" s="406"/>
      <c r="G36" s="406"/>
      <c r="H36" s="407" t="s">
        <v>365</v>
      </c>
      <c r="I36" s="406"/>
      <c r="J36" s="406"/>
      <c r="K36" s="406"/>
      <c r="L36" s="406"/>
      <c r="M36" s="406"/>
      <c r="N36" s="171"/>
    </row>
    <row r="37" spans="2:14">
      <c r="B37" s="172"/>
      <c r="C37" s="408"/>
      <c r="D37" s="408"/>
      <c r="E37" s="408"/>
      <c r="F37" s="408"/>
      <c r="G37" s="408"/>
      <c r="H37" s="408"/>
      <c r="I37" s="408"/>
      <c r="J37" s="408"/>
      <c r="K37" s="408"/>
      <c r="L37" s="408"/>
      <c r="M37" s="408"/>
      <c r="N37" s="173"/>
    </row>
    <row r="38" spans="2:14">
      <c r="B38" s="172"/>
      <c r="C38" s="408"/>
      <c r="D38" s="408"/>
      <c r="E38" s="408"/>
      <c r="F38" s="408"/>
      <c r="G38" s="408"/>
      <c r="H38" s="408"/>
      <c r="I38" s="408"/>
      <c r="J38" s="408"/>
      <c r="K38" s="408"/>
      <c r="L38" s="408"/>
      <c r="M38" s="408"/>
      <c r="N38" s="173"/>
    </row>
    <row r="39" spans="2:14">
      <c r="B39" s="172"/>
      <c r="C39" s="408"/>
      <c r="D39" s="408"/>
      <c r="E39" s="408"/>
      <c r="F39" s="408"/>
      <c r="G39" s="408"/>
      <c r="H39" s="408"/>
      <c r="I39" s="408"/>
      <c r="J39" s="408"/>
      <c r="K39" s="408"/>
      <c r="L39" s="408"/>
      <c r="M39" s="408"/>
      <c r="N39" s="173"/>
    </row>
    <row r="40" spans="2:14">
      <c r="B40" s="172"/>
      <c r="C40" s="408"/>
      <c r="D40" s="408"/>
      <c r="E40" s="408"/>
      <c r="F40" s="408"/>
      <c r="G40" s="408"/>
      <c r="H40" s="408"/>
      <c r="I40" s="408"/>
      <c r="J40" s="408"/>
      <c r="K40" s="408"/>
      <c r="L40" s="408"/>
      <c r="M40" s="408"/>
      <c r="N40" s="173"/>
    </row>
    <row r="41" spans="2:14">
      <c r="B41" s="172"/>
      <c r="C41" s="408"/>
      <c r="D41" s="408"/>
      <c r="E41" s="408"/>
      <c r="F41" s="408"/>
      <c r="G41" s="408"/>
      <c r="H41" s="408"/>
      <c r="I41" s="408"/>
      <c r="J41" s="408"/>
      <c r="K41" s="408"/>
      <c r="L41" s="408"/>
      <c r="M41" s="408"/>
      <c r="N41" s="173"/>
    </row>
    <row r="42" spans="2:14">
      <c r="B42" s="172"/>
      <c r="C42" s="408"/>
      <c r="D42" s="408"/>
      <c r="E42" s="408"/>
      <c r="F42" s="408"/>
      <c r="G42" s="408"/>
      <c r="H42" s="408"/>
      <c r="I42" s="408"/>
      <c r="J42" s="408"/>
      <c r="K42" s="408"/>
      <c r="L42" s="408"/>
      <c r="M42" s="408"/>
      <c r="N42" s="173"/>
    </row>
    <row r="43" spans="2:14">
      <c r="B43" s="172"/>
      <c r="C43" s="408"/>
      <c r="D43" s="408"/>
      <c r="E43" s="408"/>
      <c r="F43" s="408"/>
      <c r="G43" s="408"/>
      <c r="H43" s="408"/>
      <c r="I43" s="408"/>
      <c r="J43" s="408"/>
      <c r="K43" s="408"/>
      <c r="L43" s="408"/>
      <c r="M43" s="408"/>
      <c r="N43" s="173"/>
    </row>
    <row r="44" spans="2:14">
      <c r="B44" s="172"/>
      <c r="C44" s="408"/>
      <c r="D44" s="408"/>
      <c r="E44" s="408"/>
      <c r="F44" s="408"/>
      <c r="G44" s="408"/>
      <c r="H44" s="408"/>
      <c r="I44" s="408"/>
      <c r="J44" s="408"/>
      <c r="K44" s="408"/>
      <c r="L44" s="408"/>
      <c r="M44" s="408"/>
      <c r="N44" s="173"/>
    </row>
    <row r="45" spans="2:14">
      <c r="B45" s="172"/>
      <c r="C45" s="408"/>
      <c r="D45" s="408"/>
      <c r="E45" s="408"/>
      <c r="F45" s="408"/>
      <c r="G45" s="408"/>
      <c r="H45" s="408"/>
      <c r="I45" s="408"/>
      <c r="J45" s="408"/>
      <c r="K45" s="408"/>
      <c r="L45" s="408"/>
      <c r="M45" s="408"/>
      <c r="N45" s="173"/>
    </row>
    <row r="46" spans="2:14">
      <c r="B46" s="172"/>
      <c r="C46" s="408"/>
      <c r="D46" s="408"/>
      <c r="E46" s="408"/>
      <c r="F46" s="408"/>
      <c r="G46" s="408"/>
      <c r="H46" s="408"/>
      <c r="I46" s="408"/>
      <c r="J46" s="408"/>
      <c r="K46" s="408"/>
      <c r="L46" s="408"/>
      <c r="M46" s="408"/>
      <c r="N46" s="173"/>
    </row>
    <row r="47" spans="2:14">
      <c r="B47" s="172"/>
      <c r="C47" s="408"/>
      <c r="D47" s="408"/>
      <c r="E47" s="408"/>
      <c r="F47" s="408"/>
      <c r="G47" s="408"/>
      <c r="H47" s="408"/>
      <c r="I47" s="408"/>
      <c r="J47" s="408"/>
      <c r="K47" s="408"/>
      <c r="L47" s="408"/>
      <c r="M47" s="408"/>
      <c r="N47" s="173"/>
    </row>
    <row r="48" spans="2:14">
      <c r="B48" s="172"/>
      <c r="C48" s="408"/>
      <c r="D48" s="408"/>
      <c r="E48" s="408"/>
      <c r="F48" s="408"/>
      <c r="G48" s="408"/>
      <c r="H48" s="408"/>
      <c r="I48" s="408"/>
      <c r="J48" s="408"/>
      <c r="K48" s="408"/>
      <c r="L48" s="408"/>
      <c r="M48" s="408"/>
      <c r="N48" s="173"/>
    </row>
    <row r="49" spans="2:14">
      <c r="B49" s="172"/>
      <c r="C49" s="408"/>
      <c r="D49" s="408"/>
      <c r="E49" s="408"/>
      <c r="F49" s="408"/>
      <c r="G49" s="408"/>
      <c r="H49" s="408"/>
      <c r="I49" s="408"/>
      <c r="J49" s="408"/>
      <c r="K49" s="408"/>
      <c r="L49" s="408"/>
      <c r="M49" s="408"/>
      <c r="N49" s="173"/>
    </row>
    <row r="50" spans="2:14">
      <c r="B50" s="172"/>
      <c r="C50" s="408"/>
      <c r="D50" s="408"/>
      <c r="E50" s="408"/>
      <c r="F50" s="408"/>
      <c r="G50" s="408"/>
      <c r="H50" s="408"/>
      <c r="I50" s="408"/>
      <c r="J50" s="408"/>
      <c r="K50" s="408"/>
      <c r="L50" s="408"/>
      <c r="M50" s="408"/>
      <c r="N50" s="173"/>
    </row>
    <row r="51" spans="2:14">
      <c r="B51" s="172"/>
      <c r="C51" s="408"/>
      <c r="D51" s="408"/>
      <c r="E51" s="408"/>
      <c r="F51" s="408"/>
      <c r="G51" s="408"/>
      <c r="H51" s="408"/>
      <c r="I51" s="408"/>
      <c r="J51" s="408"/>
      <c r="K51" s="408"/>
      <c r="L51" s="408"/>
      <c r="M51" s="408"/>
      <c r="N51" s="173"/>
    </row>
    <row r="52" spans="2:14">
      <c r="B52" s="172"/>
      <c r="C52" s="408"/>
      <c r="D52" s="408"/>
      <c r="E52" s="408"/>
      <c r="F52" s="408"/>
      <c r="G52" s="408"/>
      <c r="H52" s="408"/>
      <c r="I52" s="408"/>
      <c r="J52" s="408"/>
      <c r="K52" s="408"/>
      <c r="L52" s="408"/>
      <c r="M52" s="408"/>
      <c r="N52" s="173"/>
    </row>
    <row r="53" spans="2:14">
      <c r="B53" s="172"/>
      <c r="C53" s="408"/>
      <c r="D53" s="408"/>
      <c r="E53" s="408"/>
      <c r="F53" s="408"/>
      <c r="G53" s="408"/>
      <c r="H53" s="408"/>
      <c r="I53" s="408"/>
      <c r="J53" s="408"/>
      <c r="K53" s="408"/>
      <c r="L53" s="408"/>
      <c r="M53" s="408"/>
      <c r="N53" s="173"/>
    </row>
    <row r="54" spans="2:14">
      <c r="B54" s="174"/>
      <c r="C54" s="409"/>
      <c r="D54" s="409"/>
      <c r="E54" s="409"/>
      <c r="F54" s="409"/>
      <c r="G54" s="409"/>
      <c r="H54" s="409"/>
      <c r="I54" s="409"/>
      <c r="J54" s="409"/>
      <c r="K54" s="409"/>
      <c r="L54" s="409"/>
      <c r="M54" s="409"/>
      <c r="N54" s="175"/>
    </row>
    <row r="55" spans="2:14" ht="6.75" customHeight="1">
      <c r="C55" s="33"/>
      <c r="D55" s="33"/>
      <c r="E55" s="33"/>
      <c r="F55" s="33"/>
      <c r="G55" s="226"/>
      <c r="H55" s="80"/>
      <c r="I55" s="80"/>
      <c r="J55" s="80"/>
      <c r="K55" s="80"/>
      <c r="L55" s="80"/>
      <c r="M55" s="80"/>
      <c r="N55" s="80"/>
    </row>
    <row r="56" spans="2:14" ht="13">
      <c r="C56" s="101" t="s">
        <v>1442</v>
      </c>
      <c r="D56" s="102"/>
      <c r="E56" s="410">
        <v>3</v>
      </c>
      <c r="G56" s="226"/>
      <c r="H56" s="80"/>
      <c r="I56" s="80"/>
      <c r="J56" s="80"/>
      <c r="K56" s="80"/>
      <c r="L56" s="80"/>
      <c r="M56" s="80"/>
      <c r="N56" s="80"/>
    </row>
    <row r="57" spans="2:14" s="34" customFormat="1" ht="6.75" customHeight="1">
      <c r="C57" s="83"/>
      <c r="D57" s="83"/>
      <c r="E57" s="83"/>
      <c r="F57" s="83"/>
      <c r="G57" s="227"/>
      <c r="H57" s="83"/>
      <c r="I57" s="83"/>
      <c r="J57" s="83"/>
      <c r="K57" s="83"/>
      <c r="L57" s="83"/>
      <c r="M57" s="83"/>
      <c r="N57" s="83"/>
    </row>
    <row r="58" spans="2:14" s="34" customFormat="1">
      <c r="B58" s="176"/>
      <c r="C58" s="177"/>
      <c r="D58" s="177"/>
      <c r="E58" s="177"/>
      <c r="F58" s="177"/>
      <c r="G58" s="178"/>
      <c r="H58" s="224" t="s">
        <v>384</v>
      </c>
      <c r="I58" s="177"/>
      <c r="J58" s="177"/>
      <c r="K58" s="177"/>
      <c r="L58" s="177"/>
      <c r="M58" s="177"/>
      <c r="N58" s="179"/>
    </row>
    <row r="59" spans="2:14" ht="13">
      <c r="B59" s="180"/>
      <c r="C59" s="198" t="s">
        <v>1589</v>
      </c>
      <c r="D59" s="199"/>
      <c r="E59" s="199"/>
      <c r="F59" s="200" t="s">
        <v>1574</v>
      </c>
      <c r="G59" s="411" t="s">
        <v>1575</v>
      </c>
      <c r="H59" s="411">
        <v>1</v>
      </c>
      <c r="I59" s="411">
        <f>H59+1</f>
        <v>2</v>
      </c>
      <c r="J59" s="411">
        <f>I59+1</f>
        <v>3</v>
      </c>
      <c r="K59" s="411">
        <f>J59+1</f>
        <v>4</v>
      </c>
      <c r="L59" s="411">
        <f>K59+1</f>
        <v>5</v>
      </c>
      <c r="M59" s="412">
        <f>L59+1</f>
        <v>6</v>
      </c>
      <c r="N59" s="181"/>
    </row>
    <row r="60" spans="2:14">
      <c r="B60" s="180"/>
      <c r="C60" s="201" t="s">
        <v>785</v>
      </c>
      <c r="D60" s="33" t="s">
        <v>786</v>
      </c>
      <c r="E60" s="33"/>
      <c r="F60" s="84">
        <f ca="1">IF(bridge_mode_on=1,Scenario_Analysing_calcs!E12,IF(scenario="Base",G60,OFFSET(F60,0,1+scenario)))</f>
        <v>0.1</v>
      </c>
      <c r="G60" s="354">
        <v>0.1</v>
      </c>
      <c r="H60" s="354">
        <v>0.1</v>
      </c>
      <c r="I60" s="354">
        <v>0.08</v>
      </c>
      <c r="J60" s="354">
        <v>0.1</v>
      </c>
      <c r="K60" s="354">
        <v>0.18</v>
      </c>
      <c r="L60" s="354">
        <v>0.18</v>
      </c>
      <c r="M60" s="413">
        <v>0.18</v>
      </c>
      <c r="N60" s="181"/>
    </row>
    <row r="61" spans="2:14">
      <c r="B61" s="180"/>
      <c r="C61" s="201" t="s">
        <v>1576</v>
      </c>
      <c r="D61" s="33" t="s">
        <v>788</v>
      </c>
      <c r="E61" s="33"/>
      <c r="F61" s="84">
        <f ca="1">IF(bridge_mode_on=1,Scenario_Analysing_calcs!E13,IF(scenario="Base",G61,OFFSET(F61,0,1+scenario)))</f>
        <v>0.1</v>
      </c>
      <c r="G61" s="354">
        <v>0.12</v>
      </c>
      <c r="H61" s="354">
        <v>0.12</v>
      </c>
      <c r="I61" s="354">
        <v>0.12</v>
      </c>
      <c r="J61" s="354">
        <v>0.1</v>
      </c>
      <c r="K61" s="354">
        <v>0.12</v>
      </c>
      <c r="L61" s="354">
        <v>0.12</v>
      </c>
      <c r="M61" s="413">
        <v>0.12</v>
      </c>
      <c r="N61" s="181"/>
    </row>
    <row r="62" spans="2:14">
      <c r="B62" s="180"/>
      <c r="C62" s="201" t="s">
        <v>789</v>
      </c>
      <c r="D62" s="33" t="s">
        <v>790</v>
      </c>
      <c r="E62" s="33"/>
      <c r="F62" s="84">
        <f ca="1">IF(bridge_mode_on=1,Scenario_Analysing_calcs!E14,IF(scenario="Base",G62,OFFSET(F62,0,1+scenario)))</f>
        <v>0.06</v>
      </c>
      <c r="G62" s="354">
        <v>0.06</v>
      </c>
      <c r="H62" s="354">
        <v>0.06</v>
      </c>
      <c r="I62" s="354">
        <v>0.06</v>
      </c>
      <c r="J62" s="354">
        <v>0.06</v>
      </c>
      <c r="K62" s="354">
        <v>0.06</v>
      </c>
      <c r="L62" s="354">
        <v>0.06</v>
      </c>
      <c r="M62" s="413">
        <v>0.06</v>
      </c>
      <c r="N62" s="181"/>
    </row>
    <row r="63" spans="2:14">
      <c r="B63" s="180"/>
      <c r="C63" s="201" t="s">
        <v>1577</v>
      </c>
      <c r="D63" s="33" t="s">
        <v>792</v>
      </c>
      <c r="E63" s="33"/>
      <c r="F63" s="84">
        <f ca="1">IF(bridge_mode_on=1,Scenario_Analysing_calcs!E15,IF(scenario="Base",G63,OFFSET(F63,0,1+scenario)))</f>
        <v>0.65</v>
      </c>
      <c r="G63" s="354">
        <v>0.7</v>
      </c>
      <c r="H63" s="354">
        <v>0.7</v>
      </c>
      <c r="I63" s="354">
        <v>0.7</v>
      </c>
      <c r="J63" s="354">
        <v>0.65</v>
      </c>
      <c r="K63" s="354">
        <v>0.7</v>
      </c>
      <c r="L63" s="354">
        <v>0.7</v>
      </c>
      <c r="M63" s="413">
        <v>0.7</v>
      </c>
      <c r="N63" s="181"/>
    </row>
    <row r="64" spans="2:14">
      <c r="B64" s="180"/>
      <c r="C64" s="202" t="s">
        <v>1353</v>
      </c>
      <c r="D64" s="85" t="s">
        <v>793</v>
      </c>
      <c r="E64" s="85"/>
      <c r="F64" s="84">
        <f ca="1">IF(bridge_mode_on=1,Scenario_Analysing_calcs!E16,IF(scenario="Base",G64,OFFSET(F64,0,1+scenario)))</f>
        <v>0.5</v>
      </c>
      <c r="G64" s="354">
        <v>0.55000000000000004</v>
      </c>
      <c r="H64" s="354">
        <v>0.55000000000000004</v>
      </c>
      <c r="I64" s="354">
        <v>0.55000000000000004</v>
      </c>
      <c r="J64" s="354">
        <v>0.5</v>
      </c>
      <c r="K64" s="354">
        <v>0.55000000000000004</v>
      </c>
      <c r="L64" s="354">
        <v>0.55000000000000004</v>
      </c>
      <c r="M64" s="413">
        <v>0.55000000000000004</v>
      </c>
      <c r="N64" s="181"/>
    </row>
    <row r="65" spans="1:14">
      <c r="B65" s="180"/>
      <c r="C65" s="201" t="s">
        <v>794</v>
      </c>
      <c r="D65" s="33" t="s">
        <v>795</v>
      </c>
      <c r="E65" s="33"/>
      <c r="F65" s="84">
        <f ca="1">IF(bridge_mode_on=1,Scenario_Analysing_calcs!E17,IF(scenario="Base",G65,OFFSET(F65,0,1+scenario)))</f>
        <v>0.15</v>
      </c>
      <c r="G65" s="354">
        <v>0.15</v>
      </c>
      <c r="H65" s="354">
        <v>0.15</v>
      </c>
      <c r="I65" s="354">
        <v>0.19</v>
      </c>
      <c r="J65" s="354">
        <v>0.15</v>
      </c>
      <c r="K65" s="354">
        <v>0.2</v>
      </c>
      <c r="L65" s="354">
        <v>0.2</v>
      </c>
      <c r="M65" s="413">
        <v>0.2</v>
      </c>
      <c r="N65" s="181"/>
    </row>
    <row r="66" spans="1:14">
      <c r="B66" s="180"/>
      <c r="C66" s="201" t="s">
        <v>796</v>
      </c>
      <c r="D66" s="33" t="s">
        <v>797</v>
      </c>
      <c r="E66" s="33"/>
      <c r="F66" s="84">
        <f ca="1">IF(bridge_mode_on=1,Scenario_Analysing_calcs!E18,IF(scenario="Base",G66,OFFSET(F66,0,1+scenario)))</f>
        <v>0.08</v>
      </c>
      <c r="G66" s="354">
        <v>0.08</v>
      </c>
      <c r="H66" s="354">
        <v>0.08</v>
      </c>
      <c r="I66" s="354">
        <v>0.08</v>
      </c>
      <c r="J66" s="354">
        <v>0.08</v>
      </c>
      <c r="K66" s="354">
        <v>0.08</v>
      </c>
      <c r="L66" s="354">
        <v>0.08</v>
      </c>
      <c r="M66" s="413">
        <v>0.08</v>
      </c>
      <c r="N66" s="181"/>
    </row>
    <row r="67" spans="1:14">
      <c r="B67" s="180"/>
      <c r="C67" s="201" t="s">
        <v>798</v>
      </c>
      <c r="D67" s="33" t="s">
        <v>799</v>
      </c>
      <c r="E67" s="33"/>
      <c r="F67" s="84">
        <f ca="1">IF(bridge_mode_on=1,Scenario_Analysing_calcs!E19,IF(scenario="Base",G67,OFFSET(F67,0,1+scenario)))</f>
        <v>0.05</v>
      </c>
      <c r="G67" s="354">
        <v>0.05</v>
      </c>
      <c r="H67" s="354">
        <v>0.05</v>
      </c>
      <c r="I67" s="354">
        <v>0.05</v>
      </c>
      <c r="J67" s="354">
        <v>0.05</v>
      </c>
      <c r="K67" s="354">
        <v>0.05</v>
      </c>
      <c r="L67" s="354">
        <v>0.05</v>
      </c>
      <c r="M67" s="413">
        <v>0.05</v>
      </c>
      <c r="N67" s="181"/>
    </row>
    <row r="68" spans="1:14">
      <c r="B68" s="180"/>
      <c r="C68" s="201" t="s">
        <v>800</v>
      </c>
      <c r="D68" s="33" t="s">
        <v>800</v>
      </c>
      <c r="E68" s="33"/>
      <c r="F68" s="84">
        <f ca="1">IF(bridge_mode_on=1,Scenario_Analysing_calcs!E20,IF(scenario="Base",G68,OFFSET(F68,0,1+scenario)))</f>
        <v>0.33</v>
      </c>
      <c r="G68" s="354">
        <v>0.33</v>
      </c>
      <c r="H68" s="354">
        <v>0.35</v>
      </c>
      <c r="I68" s="354">
        <v>0.3</v>
      </c>
      <c r="J68" s="354">
        <v>0.33</v>
      </c>
      <c r="K68" s="354">
        <v>0.22</v>
      </c>
      <c r="L68" s="354">
        <v>0.27</v>
      </c>
      <c r="M68" s="413">
        <v>0.26</v>
      </c>
      <c r="N68" s="181"/>
    </row>
    <row r="69" spans="1:14">
      <c r="B69" s="180"/>
      <c r="C69" s="201" t="s">
        <v>801</v>
      </c>
      <c r="D69" s="33" t="s">
        <v>802</v>
      </c>
      <c r="E69" s="33"/>
      <c r="F69" s="84">
        <f ca="1">IF(bridge_mode_on=1,Scenario_Analysing_calcs!E21,IF(scenario="Base",G69,OFFSET(F69,0,1+scenario)))</f>
        <v>0.55000000000000004</v>
      </c>
      <c r="G69" s="354">
        <v>0.55000000000000004</v>
      </c>
      <c r="H69" s="354">
        <v>0.55000000000000004</v>
      </c>
      <c r="I69" s="354">
        <v>0.55000000000000004</v>
      </c>
      <c r="J69" s="354">
        <v>0.55000000000000004</v>
      </c>
      <c r="K69" s="354">
        <v>0.55000000000000004</v>
      </c>
      <c r="L69" s="354">
        <v>0.55000000000000004</v>
      </c>
      <c r="M69" s="413">
        <v>0.55000000000000004</v>
      </c>
      <c r="N69" s="181"/>
    </row>
    <row r="70" spans="1:14">
      <c r="B70" s="180"/>
      <c r="C70" s="201" t="s">
        <v>803</v>
      </c>
      <c r="D70" s="33" t="s">
        <v>803</v>
      </c>
      <c r="E70" s="33"/>
      <c r="F70" s="84">
        <f ca="1">IF(bridge_mode_on=1,Scenario_Analysing_calcs!E22,IF(scenario="Base",G70,OFFSET(F70,0,1+scenario)))</f>
        <v>0.18</v>
      </c>
      <c r="G70" s="354">
        <v>0.18</v>
      </c>
      <c r="H70" s="354">
        <v>0.18</v>
      </c>
      <c r="I70" s="354">
        <v>0.18</v>
      </c>
      <c r="J70" s="354">
        <v>0.18</v>
      </c>
      <c r="K70" s="354">
        <v>0.18</v>
      </c>
      <c r="L70" s="354">
        <v>0.18</v>
      </c>
      <c r="M70" s="413">
        <v>0.18</v>
      </c>
      <c r="N70" s="181"/>
    </row>
    <row r="71" spans="1:14">
      <c r="B71" s="180"/>
      <c r="C71" s="201" t="s">
        <v>1352</v>
      </c>
      <c r="D71" s="33" t="s">
        <v>805</v>
      </c>
      <c r="E71" s="33"/>
      <c r="F71" s="86">
        <f ca="1">IF(bridge_mode_on=1,Scenario_Analysing_calcs!E23,IF(scenario="Base",G71,OFFSET(F71,0,1+scenario)))</f>
        <v>12</v>
      </c>
      <c r="G71" s="361">
        <v>12</v>
      </c>
      <c r="H71" s="361">
        <v>11</v>
      </c>
      <c r="I71" s="361">
        <v>10</v>
      </c>
      <c r="J71" s="361">
        <v>12</v>
      </c>
      <c r="K71" s="361">
        <v>12</v>
      </c>
      <c r="L71" s="361">
        <v>12</v>
      </c>
      <c r="M71" s="414">
        <v>12</v>
      </c>
      <c r="N71" s="181"/>
    </row>
    <row r="72" spans="1:14">
      <c r="B72" s="180"/>
      <c r="C72" s="203" t="s">
        <v>1578</v>
      </c>
      <c r="D72" s="204"/>
      <c r="E72" s="204"/>
      <c r="F72" s="205"/>
      <c r="G72" s="206">
        <f>Scenario_Analysing_calcs!C28</f>
        <v>1563.2014127962655</v>
      </c>
      <c r="H72" s="206">
        <f>Scenario_Analysing_calcs!D28</f>
        <v>1404.7746609615122</v>
      </c>
      <c r="I72" s="206">
        <f>Scenario_Analysing_calcs!E28</f>
        <v>1276.1682259230281</v>
      </c>
      <c r="J72" s="206">
        <f>Scenario_Analysing_calcs!F28</f>
        <v>2082.2128841471099</v>
      </c>
      <c r="K72" s="206">
        <f>Scenario_Analysing_calcs!G28</f>
        <v>2005.2777937374308</v>
      </c>
      <c r="L72" s="206">
        <f>Scenario_Analysing_calcs!H28</f>
        <v>1739.0109164033302</v>
      </c>
      <c r="M72" s="207">
        <f>Scenario_Analysing_calcs!I28</f>
        <v>1792.2642918701504</v>
      </c>
      <c r="N72" s="181"/>
    </row>
    <row r="73" spans="1:14" s="193" customFormat="1">
      <c r="A73" s="32"/>
      <c r="B73" s="182"/>
      <c r="C73" s="183"/>
      <c r="D73" s="183"/>
      <c r="E73" s="183"/>
      <c r="F73" s="184"/>
      <c r="G73" s="415"/>
      <c r="H73" s="415"/>
      <c r="I73" s="415"/>
      <c r="J73" s="415"/>
      <c r="K73" s="415"/>
      <c r="L73" s="415"/>
      <c r="M73" s="415"/>
      <c r="N73" s="185"/>
    </row>
    <row r="74" spans="1:14">
      <c r="C74" s="33"/>
      <c r="D74" s="33"/>
      <c r="E74" s="33"/>
      <c r="F74" s="33"/>
      <c r="G74" s="33"/>
      <c r="H74" s="33"/>
      <c r="I74" s="33"/>
      <c r="J74" s="33"/>
      <c r="K74" s="33"/>
      <c r="L74" s="33"/>
      <c r="M74" s="87">
        <f>IF(equity_data_table,Scenario_Analysing_calcs!B3,Scenario_Analysing!E56)</f>
        <v>3</v>
      </c>
      <c r="N74" s="33"/>
    </row>
    <row r="75" spans="1:14" hidden="1">
      <c r="C75" s="33" t="s">
        <v>1361</v>
      </c>
      <c r="D75" s="33"/>
      <c r="E75" s="33"/>
      <c r="F75" s="88">
        <v>1</v>
      </c>
      <c r="G75" s="89">
        <f t="shared" ref="G75:M75" si="0">F75+1</f>
        <v>2</v>
      </c>
      <c r="H75" s="89">
        <f t="shared" si="0"/>
        <v>3</v>
      </c>
      <c r="I75" s="89">
        <f t="shared" si="0"/>
        <v>4</v>
      </c>
      <c r="J75" s="89">
        <f t="shared" si="0"/>
        <v>5</v>
      </c>
      <c r="K75" s="89">
        <f t="shared" si="0"/>
        <v>6</v>
      </c>
      <c r="L75" s="89">
        <f t="shared" si="0"/>
        <v>7</v>
      </c>
      <c r="M75" s="89">
        <f t="shared" si="0"/>
        <v>8</v>
      </c>
      <c r="N75" s="33"/>
    </row>
    <row r="76" spans="1:14" s="186" customFormat="1">
      <c r="A76" s="32"/>
      <c r="B76" s="194"/>
      <c r="C76" s="188"/>
      <c r="D76" s="188"/>
      <c r="E76" s="188"/>
      <c r="F76" s="195"/>
      <c r="G76" s="195"/>
      <c r="H76" s="225" t="s">
        <v>368</v>
      </c>
      <c r="I76" s="195"/>
      <c r="J76" s="195"/>
      <c r="K76" s="195"/>
      <c r="L76" s="195"/>
      <c r="M76" s="195"/>
      <c r="N76" s="189"/>
    </row>
    <row r="77" spans="1:14" s="186" customFormat="1" ht="13">
      <c r="A77" s="32"/>
      <c r="B77" s="196"/>
      <c r="C77" s="208" t="s">
        <v>641</v>
      </c>
      <c r="D77" s="209"/>
      <c r="E77" s="209"/>
      <c r="F77" s="210">
        <v>39813</v>
      </c>
      <c r="G77" s="211">
        <v>40178</v>
      </c>
      <c r="H77" s="211">
        <v>40543</v>
      </c>
      <c r="I77" s="211">
        <v>40908</v>
      </c>
      <c r="J77" s="211">
        <v>41274</v>
      </c>
      <c r="K77" s="211">
        <v>41639</v>
      </c>
      <c r="L77" s="211">
        <v>42004</v>
      </c>
      <c r="M77" s="212">
        <v>42369</v>
      </c>
      <c r="N77" s="190"/>
    </row>
    <row r="78" spans="1:14" s="186" customFormat="1">
      <c r="A78" s="32"/>
      <c r="B78" s="196"/>
      <c r="C78" s="1597" t="s">
        <v>642</v>
      </c>
      <c r="D78" s="1598"/>
      <c r="E78" s="1598"/>
      <c r="F78" s="1598"/>
      <c r="G78" s="1598"/>
      <c r="H78" s="1598"/>
      <c r="I78" s="1598"/>
      <c r="J78" s="1598"/>
      <c r="K78" s="1598"/>
      <c r="L78" s="1598"/>
      <c r="M78" s="1599"/>
      <c r="N78" s="190"/>
    </row>
    <row r="79" spans="1:14" s="186" customFormat="1">
      <c r="A79" s="32"/>
      <c r="B79" s="196"/>
      <c r="C79" s="201" t="s">
        <v>643</v>
      </c>
      <c r="D79" s="33"/>
      <c r="E79" s="33"/>
      <c r="F79" s="35">
        <v>1000</v>
      </c>
      <c r="G79" s="35">
        <f t="shared" ref="G79:M79" ca="1" si="1">F79*(1+$F$60)</f>
        <v>1100</v>
      </c>
      <c r="H79" s="35">
        <f t="shared" ca="1" si="1"/>
        <v>1210</v>
      </c>
      <c r="I79" s="35">
        <f t="shared" ca="1" si="1"/>
        <v>1331</v>
      </c>
      <c r="J79" s="35">
        <f t="shared" ca="1" si="1"/>
        <v>1464.1000000000001</v>
      </c>
      <c r="K79" s="35">
        <f t="shared" ca="1" si="1"/>
        <v>1610.5100000000002</v>
      </c>
      <c r="L79" s="35">
        <f t="shared" ca="1" si="1"/>
        <v>1771.5610000000004</v>
      </c>
      <c r="M79" s="213">
        <f t="shared" ca="1" si="1"/>
        <v>1948.7171000000005</v>
      </c>
      <c r="N79" s="190"/>
    </row>
    <row r="80" spans="1:14" s="186" customFormat="1">
      <c r="A80" s="32"/>
      <c r="B80" s="196"/>
      <c r="C80" s="201" t="s">
        <v>644</v>
      </c>
      <c r="D80" s="33"/>
      <c r="E80" s="33"/>
      <c r="F80" s="35">
        <f t="shared" ref="F80:M80" ca="1" si="2">-F79*$F$64</f>
        <v>-500</v>
      </c>
      <c r="G80" s="35">
        <f t="shared" ca="1" si="2"/>
        <v>-550</v>
      </c>
      <c r="H80" s="35">
        <f t="shared" ca="1" si="2"/>
        <v>-605</v>
      </c>
      <c r="I80" s="35">
        <f t="shared" ca="1" si="2"/>
        <v>-665.5</v>
      </c>
      <c r="J80" s="35">
        <f t="shared" ca="1" si="2"/>
        <v>-732.05000000000007</v>
      </c>
      <c r="K80" s="35">
        <f t="shared" ca="1" si="2"/>
        <v>-805.25500000000011</v>
      </c>
      <c r="L80" s="35">
        <f t="shared" ca="1" si="2"/>
        <v>-885.78050000000019</v>
      </c>
      <c r="M80" s="213">
        <f t="shared" ca="1" si="2"/>
        <v>-974.35855000000026</v>
      </c>
      <c r="N80" s="190"/>
    </row>
    <row r="81" spans="1:14" s="186" customFormat="1">
      <c r="A81" s="32"/>
      <c r="B81" s="196"/>
      <c r="C81" s="201" t="s">
        <v>10</v>
      </c>
      <c r="D81" s="33"/>
      <c r="E81" s="33"/>
      <c r="F81" s="35">
        <f ca="1">-$F$66*F100</f>
        <v>-25.6</v>
      </c>
      <c r="G81" s="35">
        <f t="shared" ref="G81:M81" ca="1" si="3">-$F$66*F100</f>
        <v>-25.6</v>
      </c>
      <c r="H81" s="35">
        <f t="shared" ca="1" si="3"/>
        <v>-25.6</v>
      </c>
      <c r="I81" s="35">
        <f t="shared" ca="1" si="3"/>
        <v>-25.6</v>
      </c>
      <c r="J81" s="35">
        <f t="shared" ca="1" si="3"/>
        <v>-25.6</v>
      </c>
      <c r="K81" s="35">
        <f t="shared" ca="1" si="3"/>
        <v>-25.6</v>
      </c>
      <c r="L81" s="35">
        <f t="shared" ca="1" si="3"/>
        <v>-25.6</v>
      </c>
      <c r="M81" s="213">
        <f t="shared" ca="1" si="3"/>
        <v>-25.6</v>
      </c>
      <c r="N81" s="190"/>
    </row>
    <row r="82" spans="1:14" s="186" customFormat="1">
      <c r="A82" s="32"/>
      <c r="B82" s="196"/>
      <c r="C82" s="201" t="s">
        <v>798</v>
      </c>
      <c r="D82" s="33"/>
      <c r="E82" s="33"/>
      <c r="F82" s="35">
        <v>6</v>
      </c>
      <c r="G82" s="35">
        <f t="shared" ref="G82:M82" ca="1" si="4">$F$67*F91</f>
        <v>1.6</v>
      </c>
      <c r="H82" s="35">
        <f t="shared" ca="1" si="4"/>
        <v>12.5882875</v>
      </c>
      <c r="I82" s="35">
        <f t="shared" ca="1" si="4"/>
        <v>15.935717184062497</v>
      </c>
      <c r="J82" s="35">
        <f t="shared" ca="1" si="4"/>
        <v>19.687967495612238</v>
      </c>
      <c r="K82" s="35">
        <f t="shared" ca="1" si="4"/>
        <v>23.886576918108599</v>
      </c>
      <c r="L82" s="35">
        <f t="shared" ca="1" si="4"/>
        <v>28.577253708899072</v>
      </c>
      <c r="M82" s="213">
        <f t="shared" ca="1" si="4"/>
        <v>33.810293116685727</v>
      </c>
      <c r="N82" s="190"/>
    </row>
    <row r="83" spans="1:14" s="186" customFormat="1">
      <c r="A83" s="32"/>
      <c r="B83" s="196"/>
      <c r="C83" s="201" t="s">
        <v>795</v>
      </c>
      <c r="D83" s="33"/>
      <c r="E83" s="33"/>
      <c r="F83" s="35">
        <v>-100</v>
      </c>
      <c r="G83" s="35">
        <f t="shared" ref="G83:M83" ca="1" si="5">-$F$65*F96</f>
        <v>-115.5</v>
      </c>
      <c r="H83" s="35">
        <f t="shared" ca="1" si="5"/>
        <v>-107.25</v>
      </c>
      <c r="I83" s="35">
        <f t="shared" ca="1" si="5"/>
        <v>-117.97499999999999</v>
      </c>
      <c r="J83" s="35">
        <f t="shared" ca="1" si="5"/>
        <v>-129.77249999999998</v>
      </c>
      <c r="K83" s="35">
        <f t="shared" ca="1" si="5"/>
        <v>-142.74975000000001</v>
      </c>
      <c r="L83" s="35">
        <f t="shared" ca="1" si="5"/>
        <v>-157.02472500000002</v>
      </c>
      <c r="M83" s="213">
        <f t="shared" ca="1" si="5"/>
        <v>-172.72719750000005</v>
      </c>
      <c r="N83" s="190"/>
    </row>
    <row r="84" spans="1:14" s="186" customFormat="1">
      <c r="A84" s="32"/>
      <c r="B84" s="196"/>
      <c r="C84" s="201" t="s">
        <v>1297</v>
      </c>
      <c r="D84" s="33"/>
      <c r="E84" s="33"/>
      <c r="F84" s="82">
        <f t="shared" ref="F84:M84" ca="1" si="6">SUM(F79:F83)</f>
        <v>380.4</v>
      </c>
      <c r="G84" s="35">
        <f t="shared" ca="1" si="6"/>
        <v>410.5</v>
      </c>
      <c r="H84" s="35">
        <f t="shared" ca="1" si="6"/>
        <v>484.73828749999996</v>
      </c>
      <c r="I84" s="35">
        <f t="shared" ca="1" si="6"/>
        <v>537.86071718406242</v>
      </c>
      <c r="J84" s="35">
        <f t="shared" ca="1" si="6"/>
        <v>596.36546749561239</v>
      </c>
      <c r="K84" s="35">
        <f t="shared" ca="1" si="6"/>
        <v>660.79182691810865</v>
      </c>
      <c r="L84" s="35">
        <f t="shared" ca="1" si="6"/>
        <v>731.73302870889927</v>
      </c>
      <c r="M84" s="213">
        <f t="shared" ca="1" si="6"/>
        <v>809.84164561668581</v>
      </c>
      <c r="N84" s="190"/>
    </row>
    <row r="85" spans="1:14" s="186" customFormat="1">
      <c r="A85" s="32"/>
      <c r="B85" s="196"/>
      <c r="C85" s="201" t="s">
        <v>1298</v>
      </c>
      <c r="D85" s="33"/>
      <c r="E85" s="33"/>
      <c r="F85" s="35">
        <f t="shared" ref="F85:M85" ca="1" si="7">-$F$68*F84</f>
        <v>-125.532</v>
      </c>
      <c r="G85" s="35">
        <f t="shared" ca="1" si="7"/>
        <v>-135.465</v>
      </c>
      <c r="H85" s="35">
        <f t="shared" ca="1" si="7"/>
        <v>-159.963634875</v>
      </c>
      <c r="I85" s="35">
        <f t="shared" ca="1" si="7"/>
        <v>-177.4940366707406</v>
      </c>
      <c r="J85" s="35">
        <f t="shared" ca="1" si="7"/>
        <v>-196.8006042735521</v>
      </c>
      <c r="K85" s="35">
        <f t="shared" ca="1" si="7"/>
        <v>-218.06130288297587</v>
      </c>
      <c r="L85" s="35">
        <f t="shared" ca="1" si="7"/>
        <v>-241.47189947393676</v>
      </c>
      <c r="M85" s="213">
        <f t="shared" ca="1" si="7"/>
        <v>-267.24774305350633</v>
      </c>
      <c r="N85" s="190"/>
    </row>
    <row r="86" spans="1:14" s="186" customFormat="1">
      <c r="A86" s="32"/>
      <c r="B86" s="196"/>
      <c r="C86" s="201" t="s">
        <v>1299</v>
      </c>
      <c r="D86" s="33"/>
      <c r="E86" s="33"/>
      <c r="F86" s="35">
        <f t="shared" ref="F86:M86" ca="1" si="8">SUM(F84:F85)</f>
        <v>254.86799999999999</v>
      </c>
      <c r="G86" s="35">
        <f t="shared" ca="1" si="8"/>
        <v>275.03499999999997</v>
      </c>
      <c r="H86" s="35">
        <f t="shared" ca="1" si="8"/>
        <v>324.77465262499993</v>
      </c>
      <c r="I86" s="35">
        <f t="shared" ca="1" si="8"/>
        <v>360.36668051332185</v>
      </c>
      <c r="J86" s="35">
        <f t="shared" ca="1" si="8"/>
        <v>399.5648632220603</v>
      </c>
      <c r="K86" s="35">
        <f t="shared" ca="1" si="8"/>
        <v>442.73052403513282</v>
      </c>
      <c r="L86" s="35">
        <f t="shared" ca="1" si="8"/>
        <v>490.26112923496248</v>
      </c>
      <c r="M86" s="213">
        <f t="shared" ca="1" si="8"/>
        <v>542.59390256317943</v>
      </c>
      <c r="N86" s="190"/>
    </row>
    <row r="87" spans="1:14" s="186" customFormat="1">
      <c r="A87" s="32"/>
      <c r="B87" s="196"/>
      <c r="C87" s="201" t="s">
        <v>1300</v>
      </c>
      <c r="D87" s="33"/>
      <c r="E87" s="33"/>
      <c r="F87" s="35">
        <f t="shared" ref="F87:M87" ca="1" si="9">-$F$69*F86</f>
        <v>-140.17740000000001</v>
      </c>
      <c r="G87" s="35">
        <f t="shared" ca="1" si="9"/>
        <v>-151.26925</v>
      </c>
      <c r="H87" s="35">
        <f t="shared" ca="1" si="9"/>
        <v>-178.62605894374997</v>
      </c>
      <c r="I87" s="35">
        <f t="shared" ca="1" si="9"/>
        <v>-198.20167428232705</v>
      </c>
      <c r="J87" s="35">
        <f t="shared" ca="1" si="9"/>
        <v>-219.76067477213317</v>
      </c>
      <c r="K87" s="35">
        <f t="shared" ca="1" si="9"/>
        <v>-243.50178821932306</v>
      </c>
      <c r="L87" s="35">
        <f t="shared" ca="1" si="9"/>
        <v>-269.64362107922938</v>
      </c>
      <c r="M87" s="213">
        <f t="shared" ca="1" si="9"/>
        <v>-298.42664640974868</v>
      </c>
      <c r="N87" s="190"/>
    </row>
    <row r="88" spans="1:14" s="186" customFormat="1">
      <c r="A88" s="32"/>
      <c r="B88" s="196"/>
      <c r="C88" s="201" t="s">
        <v>1301</v>
      </c>
      <c r="D88" s="33"/>
      <c r="E88" s="33"/>
      <c r="F88" s="35">
        <f t="shared" ref="F88:M88" ca="1" si="10">SUM(F86:F87)</f>
        <v>114.69059999999999</v>
      </c>
      <c r="G88" s="35">
        <f t="shared" ca="1" si="10"/>
        <v>123.76574999999997</v>
      </c>
      <c r="H88" s="35">
        <f t="shared" ca="1" si="10"/>
        <v>146.14859368124996</v>
      </c>
      <c r="I88" s="35">
        <f t="shared" ca="1" si="10"/>
        <v>162.16500623099481</v>
      </c>
      <c r="J88" s="35">
        <f t="shared" ca="1" si="10"/>
        <v>179.80418844992712</v>
      </c>
      <c r="K88" s="35">
        <f t="shared" ca="1" si="10"/>
        <v>199.22873581580976</v>
      </c>
      <c r="L88" s="35">
        <f t="shared" ca="1" si="10"/>
        <v>220.61750815573311</v>
      </c>
      <c r="M88" s="213">
        <f t="shared" ca="1" si="10"/>
        <v>244.16725615343074</v>
      </c>
      <c r="N88" s="190"/>
    </row>
    <row r="89" spans="1:14" s="186" customFormat="1">
      <c r="A89" s="32"/>
      <c r="B89" s="196"/>
      <c r="C89" s="201"/>
      <c r="D89" s="33"/>
      <c r="E89" s="33"/>
      <c r="F89" s="81"/>
      <c r="G89" s="81"/>
      <c r="H89" s="81"/>
      <c r="I89" s="81"/>
      <c r="J89" s="81"/>
      <c r="K89" s="81"/>
      <c r="L89" s="81"/>
      <c r="M89" s="214"/>
      <c r="N89" s="190"/>
    </row>
    <row r="90" spans="1:14" s="186" customFormat="1">
      <c r="A90" s="32"/>
      <c r="B90" s="196"/>
      <c r="C90" s="1597" t="s">
        <v>1302</v>
      </c>
      <c r="D90" s="1598"/>
      <c r="E90" s="1598"/>
      <c r="F90" s="1598"/>
      <c r="G90" s="1598"/>
      <c r="H90" s="1598"/>
      <c r="I90" s="1598"/>
      <c r="J90" s="1598"/>
      <c r="K90" s="1598"/>
      <c r="L90" s="1598"/>
      <c r="M90" s="1599"/>
      <c r="N90" s="190"/>
    </row>
    <row r="91" spans="1:14" s="186" customFormat="1">
      <c r="A91" s="32"/>
      <c r="B91" s="196"/>
      <c r="C91" s="201" t="s">
        <v>1303</v>
      </c>
      <c r="D91" s="33"/>
      <c r="E91" s="33"/>
      <c r="F91" s="35">
        <v>32</v>
      </c>
      <c r="G91" s="35">
        <f t="shared" ref="G91:M91" ca="1" si="11">F91+G122</f>
        <v>251.76574999999997</v>
      </c>
      <c r="H91" s="35">
        <f t="shared" ca="1" si="11"/>
        <v>318.71434368124994</v>
      </c>
      <c r="I91" s="35">
        <f t="shared" ca="1" si="11"/>
        <v>393.75934991224472</v>
      </c>
      <c r="J91" s="35">
        <f t="shared" ca="1" si="11"/>
        <v>477.73153836217193</v>
      </c>
      <c r="K91" s="35">
        <f t="shared" ca="1" si="11"/>
        <v>571.54507417798141</v>
      </c>
      <c r="L91" s="35">
        <f t="shared" ca="1" si="11"/>
        <v>676.20586233371455</v>
      </c>
      <c r="M91" s="213">
        <f t="shared" ca="1" si="11"/>
        <v>792.82072648714529</v>
      </c>
      <c r="N91" s="190"/>
    </row>
    <row r="92" spans="1:14" s="186" customFormat="1">
      <c r="A92" s="32"/>
      <c r="B92" s="196"/>
      <c r="C92" s="201" t="s">
        <v>1579</v>
      </c>
      <c r="D92" s="33"/>
      <c r="E92" s="33"/>
      <c r="F92" s="35">
        <v>150</v>
      </c>
      <c r="G92" s="35">
        <f t="shared" ref="G92:M92" ca="1" si="12">$F$61*G79</f>
        <v>110</v>
      </c>
      <c r="H92" s="35">
        <f t="shared" ca="1" si="12"/>
        <v>121</v>
      </c>
      <c r="I92" s="35">
        <f t="shared" ca="1" si="12"/>
        <v>133.1</v>
      </c>
      <c r="J92" s="35">
        <f t="shared" ca="1" si="12"/>
        <v>146.41000000000003</v>
      </c>
      <c r="K92" s="35">
        <f t="shared" ca="1" si="12"/>
        <v>161.05100000000004</v>
      </c>
      <c r="L92" s="35">
        <f t="shared" ca="1" si="12"/>
        <v>177.15610000000004</v>
      </c>
      <c r="M92" s="213">
        <f t="shared" ca="1" si="12"/>
        <v>194.87171000000006</v>
      </c>
      <c r="N92" s="190"/>
    </row>
    <row r="93" spans="1:14" s="186" customFormat="1">
      <c r="A93" s="32"/>
      <c r="B93" s="196"/>
      <c r="C93" s="215" t="s">
        <v>1305</v>
      </c>
      <c r="D93" s="80"/>
      <c r="E93" s="80"/>
      <c r="F93" s="81"/>
      <c r="G93" s="81"/>
      <c r="H93" s="81"/>
      <c r="I93" s="81"/>
      <c r="J93" s="81"/>
      <c r="K93" s="81"/>
      <c r="L93" s="81"/>
      <c r="M93" s="214"/>
      <c r="N93" s="190"/>
    </row>
    <row r="94" spans="1:14" s="186" customFormat="1">
      <c r="A94" s="32"/>
      <c r="B94" s="196"/>
      <c r="C94" s="215" t="s">
        <v>1306</v>
      </c>
      <c r="D94" s="80"/>
      <c r="E94" s="80"/>
      <c r="F94" s="35">
        <v>1070</v>
      </c>
      <c r="G94" s="35">
        <f t="shared" ref="G94:M94" ca="1" si="13">G96-G95</f>
        <v>1130.5</v>
      </c>
      <c r="H94" s="35">
        <f t="shared" ca="1" si="13"/>
        <v>1309.25</v>
      </c>
      <c r="I94" s="35">
        <f t="shared" ca="1" si="13"/>
        <v>1505.875</v>
      </c>
      <c r="J94" s="35">
        <f t="shared" ca="1" si="13"/>
        <v>1722.1624999999999</v>
      </c>
      <c r="K94" s="35">
        <f t="shared" ca="1" si="13"/>
        <v>1960.0787500000001</v>
      </c>
      <c r="L94" s="35">
        <f t="shared" ca="1" si="13"/>
        <v>2221.7866250000002</v>
      </c>
      <c r="M94" s="213">
        <f t="shared" ca="1" si="13"/>
        <v>2509.6652875000004</v>
      </c>
      <c r="N94" s="190"/>
    </row>
    <row r="95" spans="1:14" s="186" customFormat="1">
      <c r="A95" s="32"/>
      <c r="B95" s="196"/>
      <c r="C95" s="215" t="s">
        <v>1307</v>
      </c>
      <c r="D95" s="80"/>
      <c r="E95" s="80"/>
      <c r="F95" s="35">
        <v>-300</v>
      </c>
      <c r="G95" s="35">
        <f t="shared" ref="G95:M95" ca="1" si="14">F95-$F$65*F96</f>
        <v>-415.5</v>
      </c>
      <c r="H95" s="35">
        <f t="shared" ca="1" si="14"/>
        <v>-522.75</v>
      </c>
      <c r="I95" s="35">
        <f t="shared" ca="1" si="14"/>
        <v>-640.72500000000002</v>
      </c>
      <c r="J95" s="35">
        <f t="shared" ca="1" si="14"/>
        <v>-770.49749999999995</v>
      </c>
      <c r="K95" s="35">
        <f t="shared" ca="1" si="14"/>
        <v>-913.24724999999989</v>
      </c>
      <c r="L95" s="35">
        <f t="shared" ca="1" si="14"/>
        <v>-1070.2719749999999</v>
      </c>
      <c r="M95" s="213">
        <f t="shared" ca="1" si="14"/>
        <v>-1242.9991725</v>
      </c>
      <c r="N95" s="190"/>
    </row>
    <row r="96" spans="1:14" s="186" customFormat="1">
      <c r="A96" s="32"/>
      <c r="B96" s="196"/>
      <c r="C96" s="215" t="s">
        <v>1308</v>
      </c>
      <c r="D96" s="80"/>
      <c r="E96" s="80"/>
      <c r="F96" s="35">
        <f>SUM(F94:F95)</f>
        <v>770</v>
      </c>
      <c r="G96" s="35">
        <f t="shared" ref="G96:M96" ca="1" si="15">$F$63*G79</f>
        <v>715</v>
      </c>
      <c r="H96" s="35">
        <f t="shared" ca="1" si="15"/>
        <v>786.5</v>
      </c>
      <c r="I96" s="35">
        <f t="shared" ca="1" si="15"/>
        <v>865.15</v>
      </c>
      <c r="J96" s="35">
        <f t="shared" ca="1" si="15"/>
        <v>951.66500000000008</v>
      </c>
      <c r="K96" s="35">
        <f t="shared" ca="1" si="15"/>
        <v>1046.8315000000002</v>
      </c>
      <c r="L96" s="35">
        <f t="shared" ca="1" si="15"/>
        <v>1151.5146500000003</v>
      </c>
      <c r="M96" s="213">
        <f t="shared" ca="1" si="15"/>
        <v>1266.6661150000004</v>
      </c>
      <c r="N96" s="190"/>
    </row>
    <row r="97" spans="1:14" s="186" customFormat="1">
      <c r="A97" s="32"/>
      <c r="B97" s="196"/>
      <c r="C97" s="215" t="s">
        <v>1309</v>
      </c>
      <c r="D97" s="80"/>
      <c r="E97" s="80"/>
      <c r="F97" s="82">
        <f t="shared" ref="F97:M97" si="16">SUM(F91,F92,F96)</f>
        <v>952</v>
      </c>
      <c r="G97" s="35">
        <f t="shared" ca="1" si="16"/>
        <v>1076.76575</v>
      </c>
      <c r="H97" s="35">
        <f t="shared" ca="1" si="16"/>
        <v>1226.2143436812498</v>
      </c>
      <c r="I97" s="35">
        <f t="shared" ca="1" si="16"/>
        <v>1392.0093499122447</v>
      </c>
      <c r="J97" s="35">
        <f t="shared" ca="1" si="16"/>
        <v>1575.806538362172</v>
      </c>
      <c r="K97" s="35">
        <f t="shared" ca="1" si="16"/>
        <v>1779.4275741779816</v>
      </c>
      <c r="L97" s="35">
        <f t="shared" ca="1" si="16"/>
        <v>2004.876612333715</v>
      </c>
      <c r="M97" s="213">
        <f t="shared" ca="1" si="16"/>
        <v>2254.3585514871456</v>
      </c>
      <c r="N97" s="190"/>
    </row>
    <row r="98" spans="1:14" s="186" customFormat="1">
      <c r="A98" s="32"/>
      <c r="B98" s="196"/>
      <c r="C98" s="201"/>
      <c r="D98" s="33"/>
      <c r="E98" s="33"/>
      <c r="F98" s="81"/>
      <c r="G98" s="81"/>
      <c r="H98" s="81"/>
      <c r="I98" s="81"/>
      <c r="J98" s="81"/>
      <c r="K98" s="81"/>
      <c r="L98" s="81"/>
      <c r="M98" s="214"/>
      <c r="N98" s="190"/>
    </row>
    <row r="99" spans="1:14" s="186" customFormat="1">
      <c r="A99" s="32"/>
      <c r="B99" s="196"/>
      <c r="C99" s="201" t="s">
        <v>1310</v>
      </c>
      <c r="D99" s="33"/>
      <c r="E99" s="33"/>
      <c r="F99" s="35">
        <v>32</v>
      </c>
      <c r="G99" s="35">
        <f t="shared" ref="G99:M99" ca="1" si="17">-$F$62*G80</f>
        <v>33</v>
      </c>
      <c r="H99" s="35">
        <f t="shared" ca="1" si="17"/>
        <v>36.299999999999997</v>
      </c>
      <c r="I99" s="35">
        <f t="shared" ca="1" si="17"/>
        <v>39.93</v>
      </c>
      <c r="J99" s="35">
        <f t="shared" ca="1" si="17"/>
        <v>43.923000000000002</v>
      </c>
      <c r="K99" s="35">
        <f t="shared" ca="1" si="17"/>
        <v>48.315300000000008</v>
      </c>
      <c r="L99" s="35">
        <f t="shared" ca="1" si="17"/>
        <v>53.146830000000008</v>
      </c>
      <c r="M99" s="213">
        <f t="shared" ca="1" si="17"/>
        <v>58.461513000000011</v>
      </c>
      <c r="N99" s="190"/>
    </row>
    <row r="100" spans="1:14" s="186" customFormat="1">
      <c r="A100" s="32"/>
      <c r="B100" s="196"/>
      <c r="C100" s="201" t="s">
        <v>1311</v>
      </c>
      <c r="D100" s="33"/>
      <c r="E100" s="33"/>
      <c r="F100" s="35">
        <v>320</v>
      </c>
      <c r="G100" s="35">
        <f t="shared" ref="G100:J101" si="18">F100</f>
        <v>320</v>
      </c>
      <c r="H100" s="35">
        <f t="shared" si="18"/>
        <v>320</v>
      </c>
      <c r="I100" s="35">
        <f t="shared" si="18"/>
        <v>320</v>
      </c>
      <c r="J100" s="35">
        <f t="shared" si="18"/>
        <v>320</v>
      </c>
      <c r="K100" s="35">
        <f t="shared" ref="K100:M101" si="19">J100</f>
        <v>320</v>
      </c>
      <c r="L100" s="35">
        <f t="shared" si="19"/>
        <v>320</v>
      </c>
      <c r="M100" s="213">
        <f t="shared" si="19"/>
        <v>320</v>
      </c>
      <c r="N100" s="190"/>
    </row>
    <row r="101" spans="1:14" s="186" customFormat="1">
      <c r="A101" s="32"/>
      <c r="B101" s="196"/>
      <c r="C101" s="201" t="s">
        <v>1312</v>
      </c>
      <c r="D101" s="33"/>
      <c r="E101" s="33"/>
      <c r="F101" s="35">
        <v>450</v>
      </c>
      <c r="G101" s="35">
        <f t="shared" si="18"/>
        <v>450</v>
      </c>
      <c r="H101" s="35">
        <f t="shared" si="18"/>
        <v>450</v>
      </c>
      <c r="I101" s="35">
        <f t="shared" si="18"/>
        <v>450</v>
      </c>
      <c r="J101" s="35">
        <f t="shared" si="18"/>
        <v>450</v>
      </c>
      <c r="K101" s="35">
        <f t="shared" si="19"/>
        <v>450</v>
      </c>
      <c r="L101" s="35">
        <f t="shared" si="19"/>
        <v>450</v>
      </c>
      <c r="M101" s="213">
        <f t="shared" si="19"/>
        <v>450</v>
      </c>
      <c r="N101" s="190"/>
    </row>
    <row r="102" spans="1:14" s="186" customFormat="1">
      <c r="A102" s="32"/>
      <c r="B102" s="196"/>
      <c r="C102" s="201" t="s">
        <v>1313</v>
      </c>
      <c r="D102" s="33"/>
      <c r="E102" s="33"/>
      <c r="F102" s="35">
        <v>150</v>
      </c>
      <c r="G102" s="35">
        <f t="shared" ref="G102:M102" ca="1" si="20">F102+G88</f>
        <v>273.76574999999997</v>
      </c>
      <c r="H102" s="35">
        <f t="shared" ca="1" si="20"/>
        <v>419.91434368124993</v>
      </c>
      <c r="I102" s="35">
        <f t="shared" ca="1" si="20"/>
        <v>582.07934991224477</v>
      </c>
      <c r="J102" s="35">
        <f t="shared" ca="1" si="20"/>
        <v>761.88353836217186</v>
      </c>
      <c r="K102" s="35">
        <f t="shared" ca="1" si="20"/>
        <v>961.11227417798159</v>
      </c>
      <c r="L102" s="35">
        <f t="shared" ca="1" si="20"/>
        <v>1181.7297823337146</v>
      </c>
      <c r="M102" s="213">
        <f t="shared" ca="1" si="20"/>
        <v>1425.8970384871454</v>
      </c>
      <c r="N102" s="190"/>
    </row>
    <row r="103" spans="1:14" s="186" customFormat="1">
      <c r="A103" s="32"/>
      <c r="B103" s="196"/>
      <c r="C103" s="201" t="s">
        <v>1314</v>
      </c>
      <c r="D103" s="33"/>
      <c r="E103" s="33"/>
      <c r="F103" s="82">
        <f t="shared" ref="F103:M103" si="21">SUM(F99:F102)</f>
        <v>952</v>
      </c>
      <c r="G103" s="35">
        <f t="shared" ca="1" si="21"/>
        <v>1076.76575</v>
      </c>
      <c r="H103" s="35">
        <f t="shared" ca="1" si="21"/>
        <v>1226.2143436812498</v>
      </c>
      <c r="I103" s="35">
        <f t="shared" ca="1" si="21"/>
        <v>1392.0093499122449</v>
      </c>
      <c r="J103" s="35">
        <f t="shared" ca="1" si="21"/>
        <v>1575.806538362172</v>
      </c>
      <c r="K103" s="35">
        <f t="shared" ca="1" si="21"/>
        <v>1779.4275741779816</v>
      </c>
      <c r="L103" s="35">
        <f t="shared" ca="1" si="21"/>
        <v>2004.8766123337145</v>
      </c>
      <c r="M103" s="213">
        <f t="shared" ca="1" si="21"/>
        <v>2254.3585514871456</v>
      </c>
      <c r="N103" s="190"/>
    </row>
    <row r="104" spans="1:14" s="186" customFormat="1">
      <c r="A104" s="32"/>
      <c r="B104" s="196"/>
      <c r="C104" s="201"/>
      <c r="D104" s="33"/>
      <c r="E104" s="33"/>
      <c r="F104" s="92"/>
      <c r="G104" s="81"/>
      <c r="H104" s="81"/>
      <c r="I104" s="81"/>
      <c r="J104" s="81"/>
      <c r="K104" s="81"/>
      <c r="L104" s="81"/>
      <c r="M104" s="214"/>
      <c r="N104" s="190"/>
    </row>
    <row r="105" spans="1:14" s="186" customFormat="1">
      <c r="A105" s="32"/>
      <c r="B105" s="196"/>
      <c r="C105" s="1597" t="s">
        <v>1315</v>
      </c>
      <c r="D105" s="1598"/>
      <c r="E105" s="1598"/>
      <c r="F105" s="1598"/>
      <c r="G105" s="1598"/>
      <c r="H105" s="1598"/>
      <c r="I105" s="1598"/>
      <c r="J105" s="1598"/>
      <c r="K105" s="1598"/>
      <c r="L105" s="1598"/>
      <c r="M105" s="1599"/>
      <c r="N105" s="190"/>
    </row>
    <row r="106" spans="1:14" s="186" customFormat="1" ht="13">
      <c r="A106" s="32"/>
      <c r="B106" s="196"/>
      <c r="C106" s="216" t="s">
        <v>1316</v>
      </c>
      <c r="D106" s="79"/>
      <c r="E106" s="79"/>
      <c r="F106" s="92"/>
      <c r="G106" s="81"/>
      <c r="H106" s="81"/>
      <c r="I106" s="81"/>
      <c r="J106" s="81"/>
      <c r="K106" s="81"/>
      <c r="L106" s="81"/>
      <c r="M106" s="214"/>
      <c r="N106" s="190"/>
    </row>
    <row r="107" spans="1:14" s="186" customFormat="1">
      <c r="A107" s="32"/>
      <c r="B107" s="196"/>
      <c r="C107" s="201" t="s">
        <v>1299</v>
      </c>
      <c r="D107" s="33"/>
      <c r="E107" s="33"/>
      <c r="F107" s="93"/>
      <c r="G107" s="35">
        <f t="shared" ref="G107:M107" ca="1" si="22">G86</f>
        <v>275.03499999999997</v>
      </c>
      <c r="H107" s="35">
        <f t="shared" ca="1" si="22"/>
        <v>324.77465262499993</v>
      </c>
      <c r="I107" s="35">
        <f t="shared" ca="1" si="22"/>
        <v>360.36668051332185</v>
      </c>
      <c r="J107" s="35">
        <f t="shared" ca="1" si="22"/>
        <v>399.5648632220603</v>
      </c>
      <c r="K107" s="35">
        <f t="shared" ca="1" si="22"/>
        <v>442.73052403513282</v>
      </c>
      <c r="L107" s="35">
        <f t="shared" ca="1" si="22"/>
        <v>490.26112923496248</v>
      </c>
      <c r="M107" s="213">
        <f t="shared" ca="1" si="22"/>
        <v>542.59390256317943</v>
      </c>
      <c r="N107" s="190"/>
    </row>
    <row r="108" spans="1:14" s="186" customFormat="1">
      <c r="A108" s="32"/>
      <c r="B108" s="196"/>
      <c r="C108" s="201" t="s">
        <v>1317</v>
      </c>
      <c r="D108" s="33"/>
      <c r="E108" s="33"/>
      <c r="F108" s="93"/>
      <c r="G108" s="35">
        <f t="shared" ref="G108:M108" ca="1" si="23">-G83</f>
        <v>115.5</v>
      </c>
      <c r="H108" s="35">
        <f t="shared" ca="1" si="23"/>
        <v>107.25</v>
      </c>
      <c r="I108" s="35">
        <f t="shared" ca="1" si="23"/>
        <v>117.97499999999999</v>
      </c>
      <c r="J108" s="35">
        <f t="shared" ca="1" si="23"/>
        <v>129.77249999999998</v>
      </c>
      <c r="K108" s="35">
        <f t="shared" ca="1" si="23"/>
        <v>142.74975000000001</v>
      </c>
      <c r="L108" s="35">
        <f t="shared" ca="1" si="23"/>
        <v>157.02472500000002</v>
      </c>
      <c r="M108" s="213">
        <f t="shared" ca="1" si="23"/>
        <v>172.72719750000005</v>
      </c>
      <c r="N108" s="190"/>
    </row>
    <row r="109" spans="1:14" s="186" customFormat="1">
      <c r="A109" s="32"/>
      <c r="B109" s="196"/>
      <c r="C109" s="201" t="s">
        <v>1318</v>
      </c>
      <c r="D109" s="33"/>
      <c r="E109" s="33"/>
      <c r="F109" s="92"/>
      <c r="G109" s="81"/>
      <c r="H109" s="81"/>
      <c r="I109" s="81"/>
      <c r="J109" s="81"/>
      <c r="K109" s="81"/>
      <c r="L109" s="81"/>
      <c r="M109" s="214"/>
      <c r="N109" s="190"/>
    </row>
    <row r="110" spans="1:14" s="186" customFormat="1">
      <c r="A110" s="32"/>
      <c r="B110" s="196"/>
      <c r="C110" s="201" t="s">
        <v>1319</v>
      </c>
      <c r="D110" s="33"/>
      <c r="E110" s="33"/>
      <c r="F110" s="93"/>
      <c r="G110" s="35">
        <f t="shared" ref="G110:M110" ca="1" si="24">F92-G92</f>
        <v>40</v>
      </c>
      <c r="H110" s="35">
        <f t="shared" ca="1" si="24"/>
        <v>-11</v>
      </c>
      <c r="I110" s="35">
        <f t="shared" ca="1" si="24"/>
        <v>-12.099999999999994</v>
      </c>
      <c r="J110" s="35">
        <f t="shared" ca="1" si="24"/>
        <v>-13.310000000000031</v>
      </c>
      <c r="K110" s="35">
        <f t="shared" ca="1" si="24"/>
        <v>-14.64100000000002</v>
      </c>
      <c r="L110" s="35">
        <f t="shared" ca="1" si="24"/>
        <v>-16.105099999999993</v>
      </c>
      <c r="M110" s="213">
        <f t="shared" ca="1" si="24"/>
        <v>-17.715610000000027</v>
      </c>
      <c r="N110" s="190"/>
    </row>
    <row r="111" spans="1:14" s="186" customFormat="1">
      <c r="A111" s="32"/>
      <c r="B111" s="196"/>
      <c r="C111" s="201" t="s">
        <v>1320</v>
      </c>
      <c r="D111" s="33"/>
      <c r="E111" s="33"/>
      <c r="F111" s="93"/>
      <c r="G111" s="35">
        <f t="shared" ref="G111:M111" ca="1" si="25">G99-F99</f>
        <v>1</v>
      </c>
      <c r="H111" s="35">
        <f t="shared" ca="1" si="25"/>
        <v>3.2999999999999972</v>
      </c>
      <c r="I111" s="35">
        <f t="shared" ca="1" si="25"/>
        <v>3.6300000000000026</v>
      </c>
      <c r="J111" s="35">
        <f t="shared" ca="1" si="25"/>
        <v>3.9930000000000021</v>
      </c>
      <c r="K111" s="35">
        <f t="shared" ca="1" si="25"/>
        <v>4.3923000000000059</v>
      </c>
      <c r="L111" s="35">
        <f t="shared" ca="1" si="25"/>
        <v>4.8315300000000008</v>
      </c>
      <c r="M111" s="213">
        <f t="shared" ca="1" si="25"/>
        <v>5.3146830000000023</v>
      </c>
      <c r="N111" s="190"/>
    </row>
    <row r="112" spans="1:14" s="186" customFormat="1">
      <c r="A112" s="32"/>
      <c r="B112" s="196"/>
      <c r="C112" s="201" t="s">
        <v>1321</v>
      </c>
      <c r="D112" s="33"/>
      <c r="E112" s="33"/>
      <c r="F112" s="93"/>
      <c r="G112" s="35">
        <f t="shared" ref="G112:M112" ca="1" si="26">SUM(G107,G108,G110,G111)</f>
        <v>431.53499999999997</v>
      </c>
      <c r="H112" s="35">
        <f t="shared" ca="1" si="26"/>
        <v>424.32465262499994</v>
      </c>
      <c r="I112" s="35">
        <f t="shared" ca="1" si="26"/>
        <v>469.87168051332185</v>
      </c>
      <c r="J112" s="35">
        <f t="shared" ca="1" si="26"/>
        <v>520.02036322206027</v>
      </c>
      <c r="K112" s="35">
        <f t="shared" ca="1" si="26"/>
        <v>575.23157403513278</v>
      </c>
      <c r="L112" s="35">
        <f t="shared" ca="1" si="26"/>
        <v>636.01228423496252</v>
      </c>
      <c r="M112" s="213">
        <f t="shared" ca="1" si="26"/>
        <v>702.92017306317962</v>
      </c>
      <c r="N112" s="190"/>
    </row>
    <row r="113" spans="1:14" s="186" customFormat="1">
      <c r="A113" s="32"/>
      <c r="B113" s="196"/>
      <c r="C113" s="201"/>
      <c r="D113" s="33"/>
      <c r="E113" s="33"/>
      <c r="F113" s="92"/>
      <c r="G113" s="81"/>
      <c r="H113" s="81"/>
      <c r="I113" s="81"/>
      <c r="J113" s="81"/>
      <c r="K113" s="81"/>
      <c r="L113" s="81"/>
      <c r="M113" s="214"/>
      <c r="N113" s="190"/>
    </row>
    <row r="114" spans="1:14" s="186" customFormat="1" ht="13">
      <c r="A114" s="32"/>
      <c r="B114" s="196"/>
      <c r="C114" s="216" t="s">
        <v>1322</v>
      </c>
      <c r="D114" s="79"/>
      <c r="E114" s="79"/>
      <c r="F114" s="92"/>
      <c r="G114" s="81"/>
      <c r="H114" s="81"/>
      <c r="I114" s="81"/>
      <c r="J114" s="81"/>
      <c r="K114" s="81"/>
      <c r="L114" s="81"/>
      <c r="M114" s="214"/>
      <c r="N114" s="190"/>
    </row>
    <row r="115" spans="1:14" s="186" customFormat="1">
      <c r="A115" s="32"/>
      <c r="B115" s="196"/>
      <c r="C115" s="201" t="s">
        <v>1323</v>
      </c>
      <c r="D115" s="33"/>
      <c r="E115" s="33"/>
      <c r="F115" s="93"/>
      <c r="G115" s="35">
        <f t="shared" ref="G115:M115" ca="1" si="27">F94-G94</f>
        <v>-60.5</v>
      </c>
      <c r="H115" s="35">
        <f t="shared" ca="1" si="27"/>
        <v>-178.75</v>
      </c>
      <c r="I115" s="35">
        <f t="shared" ca="1" si="27"/>
        <v>-196.625</v>
      </c>
      <c r="J115" s="35">
        <f t="shared" ca="1" si="27"/>
        <v>-216.28749999999991</v>
      </c>
      <c r="K115" s="35">
        <f t="shared" ca="1" si="27"/>
        <v>-237.91625000000022</v>
      </c>
      <c r="L115" s="35">
        <f t="shared" ca="1" si="27"/>
        <v>-261.70787500000006</v>
      </c>
      <c r="M115" s="213">
        <f t="shared" ca="1" si="27"/>
        <v>-287.87866250000025</v>
      </c>
      <c r="N115" s="190"/>
    </row>
    <row r="116" spans="1:14" s="186" customFormat="1">
      <c r="A116" s="32"/>
      <c r="B116" s="196"/>
      <c r="C116" s="201" t="s">
        <v>1324</v>
      </c>
      <c r="D116" s="33"/>
      <c r="E116" s="33"/>
      <c r="F116" s="93"/>
      <c r="G116" s="35">
        <f t="shared" ref="G116:M116" ca="1" si="28">G115</f>
        <v>-60.5</v>
      </c>
      <c r="H116" s="35">
        <f t="shared" ca="1" si="28"/>
        <v>-178.75</v>
      </c>
      <c r="I116" s="35">
        <f t="shared" ca="1" si="28"/>
        <v>-196.625</v>
      </c>
      <c r="J116" s="35">
        <f t="shared" ca="1" si="28"/>
        <v>-216.28749999999991</v>
      </c>
      <c r="K116" s="35">
        <f t="shared" ca="1" si="28"/>
        <v>-237.91625000000022</v>
      </c>
      <c r="L116" s="35">
        <f t="shared" ca="1" si="28"/>
        <v>-261.70787500000006</v>
      </c>
      <c r="M116" s="213">
        <f t="shared" ca="1" si="28"/>
        <v>-287.87866250000025</v>
      </c>
      <c r="N116" s="190"/>
    </row>
    <row r="117" spans="1:14" s="186" customFormat="1">
      <c r="A117" s="32"/>
      <c r="B117" s="196"/>
      <c r="C117" s="201"/>
      <c r="D117" s="33"/>
      <c r="E117" s="33"/>
      <c r="F117" s="92"/>
      <c r="G117" s="81"/>
      <c r="H117" s="81"/>
      <c r="I117" s="81"/>
      <c r="J117" s="81"/>
      <c r="K117" s="81"/>
      <c r="L117" s="81"/>
      <c r="M117" s="214"/>
      <c r="N117" s="190"/>
    </row>
    <row r="118" spans="1:14" s="186" customFormat="1" ht="13">
      <c r="A118" s="32"/>
      <c r="B118" s="196"/>
      <c r="C118" s="216" t="s">
        <v>1325</v>
      </c>
      <c r="D118" s="79"/>
      <c r="E118" s="79"/>
      <c r="F118" s="92"/>
      <c r="G118" s="81"/>
      <c r="H118" s="81"/>
      <c r="I118" s="81"/>
      <c r="J118" s="81"/>
      <c r="K118" s="81"/>
      <c r="L118" s="81"/>
      <c r="M118" s="214"/>
      <c r="N118" s="190"/>
    </row>
    <row r="119" spans="1:14" s="186" customFormat="1">
      <c r="A119" s="32"/>
      <c r="B119" s="196"/>
      <c r="C119" s="201" t="s">
        <v>1326</v>
      </c>
      <c r="D119" s="33"/>
      <c r="E119" s="33"/>
      <c r="F119" s="93"/>
      <c r="G119" s="35">
        <f t="shared" ref="G119:M119" ca="1" si="29">G87</f>
        <v>-151.26925</v>
      </c>
      <c r="H119" s="35">
        <f t="shared" ca="1" si="29"/>
        <v>-178.62605894374997</v>
      </c>
      <c r="I119" s="35">
        <f t="shared" ca="1" si="29"/>
        <v>-198.20167428232705</v>
      </c>
      <c r="J119" s="35">
        <f t="shared" ca="1" si="29"/>
        <v>-219.76067477213317</v>
      </c>
      <c r="K119" s="35">
        <f t="shared" ca="1" si="29"/>
        <v>-243.50178821932306</v>
      </c>
      <c r="L119" s="35">
        <f t="shared" ca="1" si="29"/>
        <v>-269.64362107922938</v>
      </c>
      <c r="M119" s="213">
        <f t="shared" ca="1" si="29"/>
        <v>-298.42664640974868</v>
      </c>
      <c r="N119" s="190"/>
    </row>
    <row r="120" spans="1:14" s="186" customFormat="1">
      <c r="A120" s="32"/>
      <c r="B120" s="196"/>
      <c r="C120" s="201" t="s">
        <v>1327</v>
      </c>
      <c r="D120" s="33"/>
      <c r="E120" s="33"/>
      <c r="F120" s="93"/>
      <c r="G120" s="35">
        <f t="shared" ref="G120:M120" ca="1" si="30">G119</f>
        <v>-151.26925</v>
      </c>
      <c r="H120" s="35">
        <f t="shared" ca="1" si="30"/>
        <v>-178.62605894374997</v>
      </c>
      <c r="I120" s="35">
        <f t="shared" ca="1" si="30"/>
        <v>-198.20167428232705</v>
      </c>
      <c r="J120" s="35">
        <f t="shared" ca="1" si="30"/>
        <v>-219.76067477213317</v>
      </c>
      <c r="K120" s="35">
        <f t="shared" ca="1" si="30"/>
        <v>-243.50178821932306</v>
      </c>
      <c r="L120" s="35">
        <f t="shared" ca="1" si="30"/>
        <v>-269.64362107922938</v>
      </c>
      <c r="M120" s="213">
        <f t="shared" ca="1" si="30"/>
        <v>-298.42664640974868</v>
      </c>
      <c r="N120" s="190"/>
    </row>
    <row r="121" spans="1:14" s="186" customFormat="1">
      <c r="A121" s="32"/>
      <c r="B121" s="196"/>
      <c r="C121" s="201"/>
      <c r="D121" s="33"/>
      <c r="E121" s="33"/>
      <c r="F121" s="92"/>
      <c r="G121" s="81"/>
      <c r="H121" s="81"/>
      <c r="I121" s="81"/>
      <c r="J121" s="81"/>
      <c r="K121" s="81"/>
      <c r="L121" s="81"/>
      <c r="M121" s="214"/>
      <c r="N121" s="190"/>
    </row>
    <row r="122" spans="1:14" s="186" customFormat="1">
      <c r="A122" s="32"/>
      <c r="B122" s="196"/>
      <c r="C122" s="201" t="s">
        <v>1328</v>
      </c>
      <c r="D122" s="33"/>
      <c r="E122" s="33"/>
      <c r="F122" s="93"/>
      <c r="G122" s="35">
        <f t="shared" ref="G122:M122" ca="1" si="31">SUM(G112,G116,G120)</f>
        <v>219.76574999999997</v>
      </c>
      <c r="H122" s="35">
        <f t="shared" ca="1" si="31"/>
        <v>66.948593681249974</v>
      </c>
      <c r="I122" s="35">
        <f t="shared" ca="1" si="31"/>
        <v>75.045006230994801</v>
      </c>
      <c r="J122" s="35">
        <f t="shared" ca="1" si="31"/>
        <v>83.972188449927188</v>
      </c>
      <c r="K122" s="35">
        <f t="shared" ca="1" si="31"/>
        <v>93.813535815809502</v>
      </c>
      <c r="L122" s="35">
        <f t="shared" ca="1" si="31"/>
        <v>104.66078815573309</v>
      </c>
      <c r="M122" s="213">
        <f t="shared" ca="1" si="31"/>
        <v>116.61486415343069</v>
      </c>
      <c r="N122" s="190"/>
    </row>
    <row r="123" spans="1:14" s="186" customFormat="1">
      <c r="A123" s="32"/>
      <c r="B123" s="196"/>
      <c r="C123" s="201"/>
      <c r="D123" s="33"/>
      <c r="E123" s="33"/>
      <c r="F123" s="33"/>
      <c r="G123" s="80"/>
      <c r="H123" s="80"/>
      <c r="I123" s="80"/>
      <c r="J123" s="80"/>
      <c r="K123" s="80"/>
      <c r="L123" s="80"/>
      <c r="M123" s="217"/>
      <c r="N123" s="190"/>
    </row>
    <row r="124" spans="1:14" s="186" customFormat="1">
      <c r="A124" s="32"/>
      <c r="B124" s="196"/>
      <c r="C124" s="1597" t="s">
        <v>1329</v>
      </c>
      <c r="D124" s="1598"/>
      <c r="E124" s="1598"/>
      <c r="F124" s="1598"/>
      <c r="G124" s="1598"/>
      <c r="H124" s="1598"/>
      <c r="I124" s="1598"/>
      <c r="J124" s="1598"/>
      <c r="K124" s="1598"/>
      <c r="L124" s="1598"/>
      <c r="M124" s="1599"/>
      <c r="N124" s="190"/>
    </row>
    <row r="125" spans="1:14" s="186" customFormat="1" ht="13">
      <c r="A125" s="32"/>
      <c r="B125" s="196"/>
      <c r="C125" s="201" t="s">
        <v>641</v>
      </c>
      <c r="D125" s="33"/>
      <c r="E125" s="33"/>
      <c r="F125" s="91">
        <f t="shared" ref="F125:M125" si="32">F77</f>
        <v>39813</v>
      </c>
      <c r="G125" s="90">
        <f t="shared" si="32"/>
        <v>40178</v>
      </c>
      <c r="H125" s="90">
        <f t="shared" si="32"/>
        <v>40543</v>
      </c>
      <c r="I125" s="90">
        <f t="shared" si="32"/>
        <v>40908</v>
      </c>
      <c r="J125" s="90">
        <f t="shared" si="32"/>
        <v>41274</v>
      </c>
      <c r="K125" s="90">
        <f t="shared" si="32"/>
        <v>41639</v>
      </c>
      <c r="L125" s="90">
        <f t="shared" si="32"/>
        <v>42004</v>
      </c>
      <c r="M125" s="218">
        <f t="shared" si="32"/>
        <v>42369</v>
      </c>
      <c r="N125" s="190"/>
    </row>
    <row r="126" spans="1:14" s="186" customFormat="1">
      <c r="A126" s="32"/>
      <c r="B126" s="196"/>
      <c r="C126" s="201" t="s">
        <v>1299</v>
      </c>
      <c r="D126" s="33"/>
      <c r="E126" s="33"/>
      <c r="F126" s="93"/>
      <c r="G126" s="35">
        <f t="shared" ref="G126:M126" ca="1" si="33">G86</f>
        <v>275.03499999999997</v>
      </c>
      <c r="H126" s="35">
        <f t="shared" ca="1" si="33"/>
        <v>324.77465262499993</v>
      </c>
      <c r="I126" s="35">
        <f t="shared" ca="1" si="33"/>
        <v>360.36668051332185</v>
      </c>
      <c r="J126" s="35">
        <f t="shared" ca="1" si="33"/>
        <v>399.5648632220603</v>
      </c>
      <c r="K126" s="35">
        <f t="shared" ca="1" si="33"/>
        <v>442.73052403513282</v>
      </c>
      <c r="L126" s="35">
        <f t="shared" ca="1" si="33"/>
        <v>490.26112923496248</v>
      </c>
      <c r="M126" s="213">
        <f t="shared" ca="1" si="33"/>
        <v>542.59390256317943</v>
      </c>
      <c r="N126" s="190"/>
    </row>
    <row r="127" spans="1:14" s="186" customFormat="1">
      <c r="A127" s="32"/>
      <c r="B127" s="196"/>
      <c r="C127" s="201" t="s">
        <v>1317</v>
      </c>
      <c r="D127" s="33"/>
      <c r="E127" s="33"/>
      <c r="F127" s="93"/>
      <c r="G127" s="35">
        <f t="shared" ref="G127:M127" ca="1" si="34">-G83</f>
        <v>115.5</v>
      </c>
      <c r="H127" s="35">
        <f t="shared" ca="1" si="34"/>
        <v>107.25</v>
      </c>
      <c r="I127" s="35">
        <f t="shared" ca="1" si="34"/>
        <v>117.97499999999999</v>
      </c>
      <c r="J127" s="35">
        <f t="shared" ca="1" si="34"/>
        <v>129.77249999999998</v>
      </c>
      <c r="K127" s="35">
        <f t="shared" ca="1" si="34"/>
        <v>142.74975000000001</v>
      </c>
      <c r="L127" s="35">
        <f t="shared" ca="1" si="34"/>
        <v>157.02472500000002</v>
      </c>
      <c r="M127" s="213">
        <f t="shared" ca="1" si="34"/>
        <v>172.72719750000005</v>
      </c>
      <c r="N127" s="190"/>
    </row>
    <row r="128" spans="1:14" s="186" customFormat="1">
      <c r="A128" s="32"/>
      <c r="B128" s="196"/>
      <c r="C128" s="201" t="s">
        <v>1330</v>
      </c>
      <c r="D128" s="33"/>
      <c r="E128" s="33"/>
      <c r="F128" s="93"/>
      <c r="G128" s="35">
        <f t="shared" ref="G128:J129" ca="1" si="35">G110</f>
        <v>40</v>
      </c>
      <c r="H128" s="35">
        <f t="shared" ca="1" si="35"/>
        <v>-11</v>
      </c>
      <c r="I128" s="35">
        <f t="shared" ca="1" si="35"/>
        <v>-12.099999999999994</v>
      </c>
      <c r="J128" s="35">
        <f t="shared" ca="1" si="35"/>
        <v>-13.310000000000031</v>
      </c>
      <c r="K128" s="35">
        <f t="shared" ref="K128:M129" ca="1" si="36">K110</f>
        <v>-14.64100000000002</v>
      </c>
      <c r="L128" s="35">
        <f t="shared" ca="1" si="36"/>
        <v>-16.105099999999993</v>
      </c>
      <c r="M128" s="213">
        <f t="shared" ca="1" si="36"/>
        <v>-17.715610000000027</v>
      </c>
      <c r="N128" s="190"/>
    </row>
    <row r="129" spans="1:14" s="186" customFormat="1">
      <c r="A129" s="32"/>
      <c r="B129" s="196"/>
      <c r="C129" s="201" t="s">
        <v>1331</v>
      </c>
      <c r="D129" s="33"/>
      <c r="E129" s="33"/>
      <c r="F129" s="93"/>
      <c r="G129" s="35">
        <f t="shared" ca="1" si="35"/>
        <v>1</v>
      </c>
      <c r="H129" s="35">
        <f t="shared" ca="1" si="35"/>
        <v>3.2999999999999972</v>
      </c>
      <c r="I129" s="35">
        <f t="shared" ca="1" si="35"/>
        <v>3.6300000000000026</v>
      </c>
      <c r="J129" s="35">
        <f t="shared" ca="1" si="35"/>
        <v>3.9930000000000021</v>
      </c>
      <c r="K129" s="35">
        <f t="shared" ca="1" si="36"/>
        <v>4.3923000000000059</v>
      </c>
      <c r="L129" s="35">
        <f t="shared" ca="1" si="36"/>
        <v>4.8315300000000008</v>
      </c>
      <c r="M129" s="213">
        <f t="shared" ca="1" si="36"/>
        <v>5.3146830000000023</v>
      </c>
      <c r="N129" s="190"/>
    </row>
    <row r="130" spans="1:14" s="186" customFormat="1">
      <c r="A130" s="32"/>
      <c r="B130" s="196"/>
      <c r="C130" s="201" t="s">
        <v>1332</v>
      </c>
      <c r="D130" s="33"/>
      <c r="E130" s="33"/>
      <c r="F130" s="93"/>
      <c r="G130" s="35">
        <f t="shared" ref="G130:M130" ca="1" si="37">F94-G94</f>
        <v>-60.5</v>
      </c>
      <c r="H130" s="35">
        <f t="shared" ca="1" si="37"/>
        <v>-178.75</v>
      </c>
      <c r="I130" s="35">
        <f t="shared" ca="1" si="37"/>
        <v>-196.625</v>
      </c>
      <c r="J130" s="35">
        <f t="shared" ca="1" si="37"/>
        <v>-216.28749999999991</v>
      </c>
      <c r="K130" s="35">
        <f t="shared" ca="1" si="37"/>
        <v>-237.91625000000022</v>
      </c>
      <c r="L130" s="35">
        <f t="shared" ca="1" si="37"/>
        <v>-261.70787500000006</v>
      </c>
      <c r="M130" s="213">
        <f t="shared" ca="1" si="37"/>
        <v>-287.87866250000025</v>
      </c>
      <c r="N130" s="190"/>
    </row>
    <row r="131" spans="1:14" s="186" customFormat="1">
      <c r="A131" s="32"/>
      <c r="B131" s="196"/>
      <c r="C131" s="201" t="s">
        <v>1333</v>
      </c>
      <c r="D131" s="33"/>
      <c r="E131" s="33"/>
      <c r="F131" s="93"/>
      <c r="G131" s="35">
        <f t="shared" ref="G131:M131" ca="1" si="38">-(1-$F$68)* G81</f>
        <v>17.151999999999997</v>
      </c>
      <c r="H131" s="35">
        <f t="shared" ca="1" si="38"/>
        <v>17.151999999999997</v>
      </c>
      <c r="I131" s="35">
        <f t="shared" ca="1" si="38"/>
        <v>17.151999999999997</v>
      </c>
      <c r="J131" s="35">
        <f t="shared" ca="1" si="38"/>
        <v>17.151999999999997</v>
      </c>
      <c r="K131" s="35">
        <f t="shared" ca="1" si="38"/>
        <v>17.151999999999997</v>
      </c>
      <c r="L131" s="35">
        <f t="shared" ca="1" si="38"/>
        <v>17.151999999999997</v>
      </c>
      <c r="M131" s="213">
        <f t="shared" ca="1" si="38"/>
        <v>17.151999999999997</v>
      </c>
      <c r="N131" s="190"/>
    </row>
    <row r="132" spans="1:14" s="186" customFormat="1">
      <c r="A132" s="32"/>
      <c r="B132" s="196"/>
      <c r="C132" s="201" t="s">
        <v>1334</v>
      </c>
      <c r="D132" s="33"/>
      <c r="E132" s="33"/>
      <c r="F132" s="93"/>
      <c r="G132" s="35">
        <f t="shared" ref="G132:M132" ca="1" si="39">-(1-$F$68)*G82</f>
        <v>-1.0719999999999998</v>
      </c>
      <c r="H132" s="35">
        <f t="shared" ca="1" si="39"/>
        <v>-8.4341526249999994</v>
      </c>
      <c r="I132" s="35">
        <f t="shared" ca="1" si="39"/>
        <v>-10.676930513321873</v>
      </c>
      <c r="J132" s="35">
        <f t="shared" ca="1" si="39"/>
        <v>-13.190938222060199</v>
      </c>
      <c r="K132" s="35">
        <f t="shared" ca="1" si="39"/>
        <v>-16.00400653513276</v>
      </c>
      <c r="L132" s="35">
        <f t="shared" ca="1" si="39"/>
        <v>-19.146759984962376</v>
      </c>
      <c r="M132" s="213">
        <f t="shared" ca="1" si="39"/>
        <v>-22.652896388179435</v>
      </c>
      <c r="N132" s="190"/>
    </row>
    <row r="133" spans="1:14" s="186" customFormat="1">
      <c r="A133" s="32"/>
      <c r="B133" s="196"/>
      <c r="C133" s="201" t="s">
        <v>1329</v>
      </c>
      <c r="D133" s="33"/>
      <c r="E133" s="33"/>
      <c r="F133" s="93"/>
      <c r="G133" s="35">
        <f t="shared" ref="G133:M133" ca="1" si="40">SUM(G126:G132)</f>
        <v>387.11499999999995</v>
      </c>
      <c r="H133" s="35">
        <f t="shared" ca="1" si="40"/>
        <v>254.29249999999993</v>
      </c>
      <c r="I133" s="35">
        <f t="shared" ca="1" si="40"/>
        <v>279.72174999999999</v>
      </c>
      <c r="J133" s="35">
        <f t="shared" ca="1" si="40"/>
        <v>307.69392500000015</v>
      </c>
      <c r="K133" s="35">
        <f t="shared" ca="1" si="40"/>
        <v>338.46331749999979</v>
      </c>
      <c r="L133" s="35">
        <f t="shared" ca="1" si="40"/>
        <v>372.30964925000006</v>
      </c>
      <c r="M133" s="213">
        <f t="shared" ca="1" si="40"/>
        <v>409.54061417499992</v>
      </c>
      <c r="N133" s="190"/>
    </row>
    <row r="134" spans="1:14" s="186" customFormat="1" ht="13">
      <c r="A134" s="32"/>
      <c r="B134" s="196"/>
      <c r="C134" s="201"/>
      <c r="D134" s="33"/>
      <c r="E134" s="33"/>
      <c r="F134" s="94"/>
      <c r="G134" s="95"/>
      <c r="H134" s="95"/>
      <c r="I134" s="95"/>
      <c r="J134" s="95"/>
      <c r="K134" s="95"/>
      <c r="L134" s="95"/>
      <c r="M134" s="219"/>
      <c r="N134" s="190"/>
    </row>
    <row r="135" spans="1:14" s="186" customFormat="1">
      <c r="A135" s="32"/>
      <c r="B135" s="196"/>
      <c r="C135" s="1597" t="s">
        <v>1343</v>
      </c>
      <c r="D135" s="1598"/>
      <c r="E135" s="1598"/>
      <c r="F135" s="1598"/>
      <c r="G135" s="1598"/>
      <c r="H135" s="1598"/>
      <c r="I135" s="1598"/>
      <c r="J135" s="1598"/>
      <c r="K135" s="1598"/>
      <c r="L135" s="1598"/>
      <c r="M135" s="1599"/>
      <c r="N135" s="190"/>
    </row>
    <row r="136" spans="1:14" s="186" customFormat="1">
      <c r="A136" s="32"/>
      <c r="B136" s="196"/>
      <c r="C136" s="201" t="s">
        <v>1344</v>
      </c>
      <c r="D136" s="33"/>
      <c r="E136" s="33"/>
      <c r="F136" s="93">
        <v>0</v>
      </c>
      <c r="G136" s="35">
        <f t="shared" ref="G136:M136" ca="1" si="41">G133</f>
        <v>387.11499999999995</v>
      </c>
      <c r="H136" s="35">
        <f t="shared" ca="1" si="41"/>
        <v>254.29249999999993</v>
      </c>
      <c r="I136" s="35">
        <f t="shared" ca="1" si="41"/>
        <v>279.72174999999999</v>
      </c>
      <c r="J136" s="35">
        <f t="shared" ca="1" si="41"/>
        <v>307.69392500000015</v>
      </c>
      <c r="K136" s="35">
        <f t="shared" ca="1" si="41"/>
        <v>338.46331749999979</v>
      </c>
      <c r="L136" s="35">
        <f t="shared" ca="1" si="41"/>
        <v>372.30964925000006</v>
      </c>
      <c r="M136" s="213">
        <f t="shared" ca="1" si="41"/>
        <v>409.54061417499992</v>
      </c>
      <c r="N136" s="190"/>
    </row>
    <row r="137" spans="1:14" s="186" customFormat="1">
      <c r="A137" s="32"/>
      <c r="B137" s="196"/>
      <c r="C137" s="201" t="s">
        <v>804</v>
      </c>
      <c r="D137" s="33"/>
      <c r="E137" s="33"/>
      <c r="F137" s="92"/>
      <c r="G137" s="81"/>
      <c r="H137" s="81"/>
      <c r="I137" s="81"/>
      <c r="J137" s="81"/>
      <c r="K137" s="81"/>
      <c r="L137" s="81"/>
      <c r="M137" s="213">
        <f ca="1">F71</f>
        <v>12</v>
      </c>
      <c r="N137" s="190"/>
    </row>
    <row r="138" spans="1:14" s="186" customFormat="1">
      <c r="A138" s="32"/>
      <c r="B138" s="196"/>
      <c r="C138" s="201" t="s">
        <v>1345</v>
      </c>
      <c r="D138" s="33"/>
      <c r="E138" s="33"/>
      <c r="F138" s="92">
        <v>0</v>
      </c>
      <c r="G138" s="81">
        <v>0</v>
      </c>
      <c r="H138" s="81">
        <v>0</v>
      </c>
      <c r="I138" s="81">
        <v>0</v>
      </c>
      <c r="J138" s="81">
        <v>0</v>
      </c>
      <c r="K138" s="81"/>
      <c r="L138" s="81"/>
      <c r="M138" s="213">
        <f ca="1">M136*M137</f>
        <v>4914.4873700999988</v>
      </c>
      <c r="N138" s="190"/>
    </row>
    <row r="139" spans="1:14" s="186" customFormat="1">
      <c r="A139" s="32"/>
      <c r="B139" s="196"/>
      <c r="C139" s="201" t="s">
        <v>1346</v>
      </c>
      <c r="D139" s="33"/>
      <c r="E139" s="33"/>
      <c r="F139" s="35">
        <v>0</v>
      </c>
      <c r="G139" s="126">
        <f t="shared" ref="G139:M139" ca="1" si="42">SUM(G133,G138)</f>
        <v>387.11499999999995</v>
      </c>
      <c r="H139" s="35">
        <f t="shared" ca="1" si="42"/>
        <v>254.29249999999993</v>
      </c>
      <c r="I139" s="35">
        <f t="shared" ca="1" si="42"/>
        <v>279.72174999999999</v>
      </c>
      <c r="J139" s="35">
        <f t="shared" ca="1" si="42"/>
        <v>307.69392500000015</v>
      </c>
      <c r="K139" s="35">
        <f t="shared" ca="1" si="42"/>
        <v>338.46331749999979</v>
      </c>
      <c r="L139" s="35">
        <f t="shared" ca="1" si="42"/>
        <v>372.30964925000006</v>
      </c>
      <c r="M139" s="213">
        <f t="shared" ca="1" si="42"/>
        <v>5324.0279842749987</v>
      </c>
      <c r="N139" s="190"/>
    </row>
    <row r="140" spans="1:14" s="186" customFormat="1">
      <c r="A140" s="32"/>
      <c r="B140" s="196"/>
      <c r="C140" s="201" t="s">
        <v>1347</v>
      </c>
      <c r="D140" s="33"/>
      <c r="E140" s="33"/>
      <c r="F140" s="35">
        <f ca="1">NPV(F70,F139:M139)</f>
        <v>2370.2128841471099</v>
      </c>
      <c r="G140" s="80"/>
      <c r="H140" s="80"/>
      <c r="I140" s="80"/>
      <c r="J140" s="80"/>
      <c r="K140" s="80"/>
      <c r="L140" s="80"/>
      <c r="M140" s="217"/>
      <c r="N140" s="190"/>
    </row>
    <row r="141" spans="1:14" s="186" customFormat="1">
      <c r="A141" s="32"/>
      <c r="B141" s="196"/>
      <c r="C141" s="201" t="s">
        <v>1348</v>
      </c>
      <c r="D141" s="33"/>
      <c r="E141" s="33"/>
      <c r="F141" s="35">
        <f>F91</f>
        <v>32</v>
      </c>
      <c r="G141" s="80"/>
      <c r="H141" s="80"/>
      <c r="I141" s="80"/>
      <c r="J141" s="80"/>
      <c r="K141" s="80"/>
      <c r="L141" s="80"/>
      <c r="M141" s="217"/>
      <c r="N141" s="190"/>
    </row>
    <row r="142" spans="1:14" s="186" customFormat="1">
      <c r="A142" s="32"/>
      <c r="B142" s="196"/>
      <c r="C142" s="215" t="s">
        <v>1349</v>
      </c>
      <c r="D142" s="80"/>
      <c r="E142" s="80"/>
      <c r="F142" s="35">
        <f ca="1">SUM(F140:F141)</f>
        <v>2402.2128841471099</v>
      </c>
      <c r="G142" s="80"/>
      <c r="H142" s="80"/>
      <c r="I142" s="80"/>
      <c r="J142" s="80"/>
      <c r="K142" s="80"/>
      <c r="L142" s="80"/>
      <c r="M142" s="217"/>
      <c r="N142" s="190"/>
    </row>
    <row r="143" spans="1:14" s="186" customFormat="1">
      <c r="A143" s="32"/>
      <c r="B143" s="196"/>
      <c r="C143" s="201" t="s">
        <v>1350</v>
      </c>
      <c r="D143" s="33"/>
      <c r="E143" s="33"/>
      <c r="F143" s="35">
        <f>-F100</f>
        <v>-320</v>
      </c>
      <c r="G143" s="80"/>
      <c r="H143" s="80"/>
      <c r="I143" s="80"/>
      <c r="J143" s="80"/>
      <c r="K143" s="80"/>
      <c r="L143" s="80"/>
      <c r="M143" s="217"/>
      <c r="N143" s="190"/>
    </row>
    <row r="144" spans="1:14" s="186" customFormat="1">
      <c r="A144" s="32"/>
      <c r="B144" s="196"/>
      <c r="C144" s="220" t="s">
        <v>1351</v>
      </c>
      <c r="D144" s="221"/>
      <c r="E144" s="221"/>
      <c r="F144" s="206">
        <f ca="1">SUM(F142:F143)</f>
        <v>2082.2128841471099</v>
      </c>
      <c r="G144" s="222"/>
      <c r="H144" s="222"/>
      <c r="I144" s="222"/>
      <c r="J144" s="222"/>
      <c r="K144" s="222"/>
      <c r="L144" s="222"/>
      <c r="M144" s="223"/>
      <c r="N144" s="190"/>
    </row>
    <row r="145" spans="1:14" s="187" customFormat="1">
      <c r="A145" s="33"/>
      <c r="B145" s="197"/>
      <c r="C145" s="191"/>
      <c r="D145" s="191"/>
      <c r="E145" s="191"/>
      <c r="F145" s="191"/>
      <c r="G145" s="191"/>
      <c r="H145" s="191"/>
      <c r="I145" s="191"/>
      <c r="J145" s="191"/>
      <c r="K145" s="191"/>
      <c r="L145" s="191"/>
      <c r="M145" s="191"/>
      <c r="N145" s="192"/>
    </row>
    <row r="146" spans="1:14" s="33" customFormat="1">
      <c r="B146" s="129"/>
    </row>
    <row r="147" spans="1:14">
      <c r="C147" s="1454" t="str">
        <f>back_to_index</f>
        <v>Back to contents</v>
      </c>
      <c r="D147" s="1454"/>
      <c r="G147" s="1530" t="str">
        <f>page_prefix &amp; page_Scenario_Analysing &amp;page_suffix</f>
        <v>- Page 14 -</v>
      </c>
      <c r="H147" s="1530"/>
      <c r="I147" s="1530"/>
      <c r="L147" s="168" t="str">
        <f>back_to_top</f>
        <v>Back to top</v>
      </c>
      <c r="N147" s="230"/>
    </row>
    <row r="148" spans="1:14">
      <c r="C148" s="140"/>
      <c r="G148" s="1530" t="str">
        <f>copyright</f>
        <v>Copyright (c) 2009 Tykoh Group Pty Limited</v>
      </c>
      <c r="H148" s="1530"/>
      <c r="I148" s="1530"/>
      <c r="L148" s="230"/>
      <c r="M148" s="230"/>
      <c r="N148" s="230"/>
    </row>
    <row r="149" spans="1:14">
      <c r="G149" s="1452" t="str">
        <f>home_address</f>
        <v>www.tykoh.com</v>
      </c>
      <c r="H149" s="1452"/>
      <c r="I149" s="1452"/>
    </row>
    <row r="150" spans="1:14"/>
  </sheetData>
  <sheetProtection algorithmName="SHA-512" hashValue="YnEJZTK/Tg3M50mofYGEwNYdgqXaToZaA/11WreDwQt1dJtrYFebx3A3DC7Uhw8xhkFQyJcW5nHCQU5ikLFoXw==" saltValue="C4+QtlsVucHrvtK8KrzR2A==" spinCount="100000" sheet="1" objects="1" scenarios="1"/>
  <mergeCells count="19">
    <mergeCell ref="G149:I149"/>
    <mergeCell ref="G148:I148"/>
    <mergeCell ref="C147:D147"/>
    <mergeCell ref="C135:M135"/>
    <mergeCell ref="G147:I147"/>
    <mergeCell ref="G2:I2"/>
    <mergeCell ref="C105:M105"/>
    <mergeCell ref="C124:M124"/>
    <mergeCell ref="C78:M78"/>
    <mergeCell ref="C90:M90"/>
    <mergeCell ref="C34:M35"/>
    <mergeCell ref="E24:E26"/>
    <mergeCell ref="E20:E23"/>
    <mergeCell ref="E28:E30"/>
    <mergeCell ref="C33:M33"/>
    <mergeCell ref="C11:M12"/>
    <mergeCell ref="C14:M15"/>
    <mergeCell ref="C6:J8"/>
    <mergeCell ref="K4:M8"/>
  </mergeCells>
  <phoneticPr fontId="2" type="noConversion"/>
  <conditionalFormatting sqref="G72:M72">
    <cfRule type="expression" dxfId="66" priority="1" stopIfTrue="1">
      <formula>G$59=$E$56</formula>
    </cfRule>
  </conditionalFormatting>
  <conditionalFormatting sqref="G59:M71">
    <cfRule type="expression" dxfId="65" priority="2" stopIfTrue="1">
      <formula>AND(G$59=$E$56,G59&lt;&gt;$G59)</formula>
    </cfRule>
    <cfRule type="expression" dxfId="64" priority="3" stopIfTrue="1">
      <formula>AND(G$59=$E$56,G59=$G59)</formula>
    </cfRule>
  </conditionalFormatting>
  <conditionalFormatting sqref="G73:M73">
    <cfRule type="expression" dxfId="63" priority="4" stopIfTrue="1">
      <formula>G$59&lt;&gt;$E$56</formula>
    </cfRule>
    <cfRule type="expression" dxfId="62" priority="5" stopIfTrue="1">
      <formula>AND(G$59=$E$56,G73&lt;&gt;$G73)</formula>
    </cfRule>
    <cfRule type="expression" dxfId="61" priority="6" stopIfTrue="1">
      <formula>AND(G$59=$E$56,G73=$G73)</formula>
    </cfRule>
  </conditionalFormatting>
  <conditionalFormatting sqref="H55:N57">
    <cfRule type="expression" dxfId="60" priority="7" stopIfTrue="1">
      <formula>H$59=$E$56</formula>
    </cfRule>
  </conditionalFormatting>
  <dataValidations disablePrompts="1" count="13">
    <dataValidation type="decimal" allowBlank="1" showInputMessage="1" showErrorMessage="1" errorTitle="Error" error="Annual sales growth must be between -10% and 20%." sqref="G60:M60" xr:uid="{00000000-0002-0000-1300-000000000000}">
      <formula1>-0.1</formula1>
      <formula2>0.2</formula2>
    </dataValidation>
    <dataValidation type="decimal" allowBlank="1" showInputMessage="1" showErrorMessage="1" errorTitle="Error" error="Current assets / sales must be between 0% and 50%." sqref="G61:M61" xr:uid="{00000000-0002-0000-1300-000001000000}">
      <formula1>0</formula1>
      <formula2>0.5</formula2>
    </dataValidation>
    <dataValidation type="decimal" allowBlank="1" showInputMessage="1" showErrorMessage="1" errorTitle="Error" error="Current liabilities / cost of goods sold must be between 0% and 50%." sqref="G62:M62" xr:uid="{00000000-0002-0000-1300-000002000000}">
      <formula1>0</formula1>
      <formula2>0.5</formula2>
    </dataValidation>
    <dataValidation type="decimal" allowBlank="1" showInputMessage="1" showErrorMessage="1" errorTitle="Error" error="Net fixed assets / sales must be between 10% and 90%." sqref="G63:M63" xr:uid="{00000000-0002-0000-1300-000003000000}">
      <formula1>0.1</formula1>
      <formula2>0.9</formula2>
    </dataValidation>
    <dataValidation type="decimal" allowBlank="1" showInputMessage="1" showErrorMessage="1" errorTitle="Error" error="Cost of goods sold / sales must be between 10% and 70%." sqref="G64:M64" xr:uid="{00000000-0002-0000-1300-000004000000}">
      <formula1>0.1</formula1>
      <formula2>0.7</formula2>
    </dataValidation>
    <dataValidation type="decimal" allowBlank="1" showInputMessage="1" showErrorMessage="1" errorTitle="Error" error="Depreciation rate must be between 10% and 40%." sqref="G65:M65" xr:uid="{00000000-0002-0000-1300-000005000000}">
      <formula1>0.1</formula1>
      <formula2>0.4</formula2>
    </dataValidation>
    <dataValidation type="decimal" allowBlank="1" showInputMessage="1" showErrorMessage="1" errorTitle="Error" error="Interest rate on debt must be between 0% and 20%." sqref="G66:M66" xr:uid="{00000000-0002-0000-1300-000006000000}">
      <formula1>0</formula1>
      <formula2>0.2</formula2>
    </dataValidation>
    <dataValidation type="decimal" allowBlank="1" showInputMessage="1" showErrorMessage="1" errorTitle="Error" error="Interest earned on cash balance must be between 0% and 15%." sqref="G67:M67" xr:uid="{00000000-0002-0000-1300-000007000000}">
      <formula1>0</formula1>
      <formula2>0.15</formula2>
    </dataValidation>
    <dataValidation type="decimal" allowBlank="1" showInputMessage="1" showErrorMessage="1" errorTitle="Error" error="Tax rate must be between 0% and 70%." sqref="G68:M68" xr:uid="{00000000-0002-0000-1300-000008000000}">
      <formula1>0</formula1>
      <formula2>0.7</formula2>
    </dataValidation>
    <dataValidation type="decimal" allowBlank="1" showInputMessage="1" showErrorMessage="1" errorTitle="Error" error="Dividend payout ratio must be between 0% and 100%." sqref="G69:M69" xr:uid="{00000000-0002-0000-1300-000009000000}">
      <formula1>0</formula1>
      <formula2>1</formula2>
    </dataValidation>
    <dataValidation type="decimal" allowBlank="1" showInputMessage="1" showErrorMessage="1" errorTitle="Error" error="Discount rate must be between 0% and 50%." sqref="G70:M70" xr:uid="{00000000-0002-0000-1300-00000A000000}">
      <formula1>0</formula1>
      <formula2>0.5</formula2>
    </dataValidation>
    <dataValidation type="decimal" allowBlank="1" showInputMessage="1" showErrorMessage="1" errorTitle="Error" error="Terminal value multiple must be between 3 and 30." sqref="G71:M71 G73:M73" xr:uid="{00000000-0002-0000-1300-00000B000000}">
      <formula1>3</formula1>
      <formula2>30</formula2>
    </dataValidation>
    <dataValidation type="list" allowBlank="1" showInputMessage="1" showErrorMessage="1" sqref="E56" xr:uid="{00000000-0002-0000-1300-00000C000000}">
      <formula1>"Base,1,2,3,4,5,6"</formula1>
    </dataValidation>
  </dataValidations>
  <hyperlinks>
    <hyperlink ref="L147:N147" location="index" display="index" xr:uid="{00000000-0004-0000-1300-000000000000}"/>
    <hyperlink ref="L147" location="hh_scenario_analysing" display="hh_scenario_analysing" xr:uid="{00000000-0004-0000-1300-000001000000}"/>
    <hyperlink ref="C147:D147" location="hh_index" display="hh_index" xr:uid="{00000000-0004-0000-1300-000002000000}"/>
    <hyperlink ref="G149:I149" r:id="rId1" display="https://www.tykoh.com/" xr:uid="{00000000-0004-0000-1300-000003000000}"/>
  </hyperlinks>
  <pageMargins left="0.75" right="0.75" top="1" bottom="1" header="0.5" footer="0.5"/>
  <pageSetup paperSize="9" scale="67" fitToHeight="2" orientation="portrait" r:id="rId2"/>
  <headerFooter alignWithMargins="0"/>
  <rowBreaks count="1" manualBreakCount="1">
    <brk id="73" max="13"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dimension ref="A1:N33"/>
  <sheetViews>
    <sheetView topLeftCell="D1" workbookViewId="0">
      <selection activeCell="O11" sqref="O11:S23"/>
    </sheetView>
  </sheetViews>
  <sheetFormatPr defaultColWidth="9.1796875" defaultRowHeight="12.5"/>
  <cols>
    <col min="1" max="2" width="1" style="6" customWidth="1"/>
    <col min="3" max="3" width="11.26953125" style="6" customWidth="1"/>
    <col min="4" max="4" width="10.26953125" style="6" bestFit="1" customWidth="1"/>
    <col min="5" max="6" width="9.26953125" style="6" bestFit="1" customWidth="1"/>
    <col min="7" max="7" width="11.1796875" style="6" customWidth="1"/>
    <col min="8" max="8" width="9.1796875" style="6"/>
    <col min="9" max="9" width="10" style="6" customWidth="1"/>
    <col min="10" max="10" width="9.1796875" style="6"/>
    <col min="11" max="11" width="12" style="6" bestFit="1" customWidth="1"/>
    <col min="12" max="13" width="10.453125" style="6" bestFit="1" customWidth="1"/>
    <col min="14" max="16384" width="9.1796875" style="6"/>
  </cols>
  <sheetData>
    <row r="1" spans="1:14">
      <c r="A1" s="6" t="s">
        <v>1580</v>
      </c>
      <c r="B1" s="6">
        <v>0</v>
      </c>
    </row>
    <row r="2" spans="1:14">
      <c r="A2" s="6" t="s">
        <v>1581</v>
      </c>
      <c r="B2" s="6">
        <v>0</v>
      </c>
      <c r="E2" s="6" t="e">
        <f ca="1">CF()</f>
        <v>#NAME?</v>
      </c>
    </row>
    <row r="3" spans="1:14">
      <c r="A3" s="6" t="s">
        <v>1582</v>
      </c>
    </row>
    <row r="4" spans="1:14">
      <c r="A4" s="6" t="s">
        <v>1583</v>
      </c>
      <c r="B4" s="6">
        <v>0</v>
      </c>
    </row>
    <row r="5" spans="1:14">
      <c r="A5" s="6" t="s">
        <v>1584</v>
      </c>
      <c r="B5" s="6">
        <f ca="1">IF(COUNT(I12:I23)&gt;1,COUNT(I12:I23),0)</f>
        <v>4</v>
      </c>
    </row>
    <row r="6" spans="1:14">
      <c r="A6" s="6" t="s">
        <v>1585</v>
      </c>
      <c r="B6" s="6">
        <f>scenario</f>
        <v>3</v>
      </c>
    </row>
    <row r="7" spans="1:14">
      <c r="A7" s="6" t="s">
        <v>1586</v>
      </c>
      <c r="B7" s="6" t="str">
        <f ca="1">IF(num_chart_items&gt;1,"This is what makes equity value differ between base case and scenario " &amp; B6,"Base case")&amp;"."</f>
        <v>This is what makes equity value differ between base case and scenario 3.</v>
      </c>
    </row>
    <row r="8" spans="1:14">
      <c r="A8" s="6" t="s">
        <v>1587</v>
      </c>
      <c r="B8" s="6" t="str">
        <f>"Equity value"</f>
        <v>Equity value</v>
      </c>
    </row>
    <row r="9" spans="1:14">
      <c r="F9" s="1605" t="s">
        <v>1548</v>
      </c>
      <c r="G9" s="1606"/>
      <c r="H9" s="1607"/>
    </row>
    <row r="10" spans="1:14" ht="13">
      <c r="F10" s="36">
        <f ca="1">Scenario_Analysing!F144</f>
        <v>2082.2128841471099</v>
      </c>
      <c r="G10" s="37">
        <v>0</v>
      </c>
      <c r="H10" s="38">
        <v>1</v>
      </c>
    </row>
    <row r="11" spans="1:14" s="17" customFormat="1" ht="13">
      <c r="A11" s="17" t="s">
        <v>1588</v>
      </c>
      <c r="B11" s="39" t="s">
        <v>1575</v>
      </c>
      <c r="C11" s="39" t="s">
        <v>1589</v>
      </c>
      <c r="D11" s="39" t="s">
        <v>1590</v>
      </c>
      <c r="E11" s="39" t="s">
        <v>1591</v>
      </c>
      <c r="F11" s="30">
        <v>0</v>
      </c>
      <c r="G11" s="14">
        <f t="dataTable" ref="G11:H23" dt2D="1" dtr="0" r1="B1" r2="B4" ca="1"/>
        <v>2082.2128841471099</v>
      </c>
      <c r="H11" s="40">
        <v>1563.2014127962655</v>
      </c>
      <c r="I11" s="17" t="s">
        <v>1592</v>
      </c>
      <c r="K11" s="17" t="s">
        <v>781</v>
      </c>
      <c r="L11" s="17" t="s">
        <v>1593</v>
      </c>
      <c r="M11" s="17" t="s">
        <v>1575</v>
      </c>
      <c r="N11" s="17" t="s">
        <v>1594</v>
      </c>
    </row>
    <row r="12" spans="1:14">
      <c r="A12" s="6" t="str">
        <f>Scenario_Analysing!D60</f>
        <v>Sales growth</v>
      </c>
      <c r="B12" s="41">
        <f>Scenario_Analysing!G60</f>
        <v>0.1</v>
      </c>
      <c r="C12" s="41">
        <f ca="1">IF(scenario="Base",Scenario_Analysing!G60,OFFSET(Scenario_Analysing!G60,0,scenario))</f>
        <v>0.1</v>
      </c>
      <c r="D12" s="6">
        <f t="shared" ref="D12:D23" ca="1" si="0">IF(C12&lt;&gt;B12,SUM(D11,1),SUM(D11,0))</f>
        <v>0</v>
      </c>
      <c r="E12" s="41">
        <f t="shared" ref="E12:E23" si="1">IF(F12&lt;=$B$4,C12,B12)</f>
        <v>0.1</v>
      </c>
      <c r="F12" s="30">
        <f t="shared" ref="F12:F23" si="2">F11+1</f>
        <v>1</v>
      </c>
      <c r="G12" s="14">
        <v>2082.2128841471099</v>
      </c>
      <c r="H12" s="40">
        <v>1563.2014127962655</v>
      </c>
      <c r="I12" s="6">
        <f t="shared" ref="I12:I23" si="3">IF(F12=1,0,MATCH(F11,$D$12:$D$23,0))</f>
        <v>0</v>
      </c>
      <c r="J12" s="42">
        <f t="shared" ref="J12:J23" ca="1" si="4">OFFSET($H$11,I12,0)</f>
        <v>1563.2014127962655</v>
      </c>
      <c r="K12" s="42" t="str">
        <f t="shared" ref="K12:K23" ca="1" si="5">IF(F12=1,"Base",IF(F12=num_chart_items+1,"Scenario "&amp;$B$6,OFFSET($A$11,I12,0) ))</f>
        <v>Base</v>
      </c>
      <c r="L12" s="42">
        <f t="shared" ref="L12:L23" ca="1" si="6">IF(F12=1,J12,IF(F12=$B$5+1,J11,""))</f>
        <v>1563.2014127962655</v>
      </c>
      <c r="M12" s="42" t="str">
        <f ca="1">IF(OR(F12=1,F12&gt;=$B$5),"",MIN(J11:J12))</f>
        <v/>
      </c>
      <c r="N12" s="42" t="str">
        <f t="shared" ref="N12:N23" ca="1" si="7">IF(OR(F12=1,F12&gt;$B$5),"",MAX(ABS(J12-J11),$L$12/200))</f>
        <v/>
      </c>
    </row>
    <row r="13" spans="1:14">
      <c r="A13" s="6" t="str">
        <f>Scenario_Analysing!D61</f>
        <v>Curr assets / sales</v>
      </c>
      <c r="B13" s="41">
        <f>Scenario_Analysing!G61</f>
        <v>0.12</v>
      </c>
      <c r="C13" s="41">
        <f ca="1">IF(scenario="Base",Scenario_Analysing!G61,OFFSET(Scenario_Analysing!G61,0,scenario))</f>
        <v>0.1</v>
      </c>
      <c r="D13" s="6">
        <f t="shared" ca="1" si="0"/>
        <v>1</v>
      </c>
      <c r="E13" s="41">
        <f t="shared" si="1"/>
        <v>0.12</v>
      </c>
      <c r="F13" s="30">
        <f t="shared" si="2"/>
        <v>2</v>
      </c>
      <c r="G13" s="14">
        <v>2082.2128841471099</v>
      </c>
      <c r="H13" s="40">
        <v>1597.1019821456441</v>
      </c>
      <c r="I13" s="6">
        <f t="shared" ca="1" si="3"/>
        <v>2</v>
      </c>
      <c r="J13" s="42">
        <f t="shared" ca="1" si="4"/>
        <v>1597.1019821456441</v>
      </c>
      <c r="K13" s="42" t="str">
        <f t="shared" ca="1" si="5"/>
        <v>Curr assets / sales</v>
      </c>
      <c r="L13" s="42" t="str">
        <f t="shared" ca="1" si="6"/>
        <v/>
      </c>
      <c r="M13" s="42">
        <f t="shared" ref="M13:M23" ca="1" si="8">IF(OR(F13=1,F13&gt;$B$5),"",MIN(J13,J12))</f>
        <v>1563.2014127962655</v>
      </c>
      <c r="N13" s="42">
        <f t="shared" ca="1" si="7"/>
        <v>33.900569349378657</v>
      </c>
    </row>
    <row r="14" spans="1:14">
      <c r="A14" s="6" t="str">
        <f>Scenario_Analysing!D62</f>
        <v>Curr liab / GOGS</v>
      </c>
      <c r="B14" s="41">
        <f>Scenario_Analysing!G62</f>
        <v>0.06</v>
      </c>
      <c r="C14" s="41">
        <f ca="1">IF(scenario="Base",Scenario_Analysing!G62,OFFSET(Scenario_Analysing!G62,0,scenario))</f>
        <v>0.06</v>
      </c>
      <c r="D14" s="6">
        <f t="shared" ca="1" si="0"/>
        <v>1</v>
      </c>
      <c r="E14" s="41">
        <f t="shared" si="1"/>
        <v>0.06</v>
      </c>
      <c r="F14" s="30">
        <f t="shared" si="2"/>
        <v>3</v>
      </c>
      <c r="G14" s="14">
        <v>2082.2128841471099</v>
      </c>
      <c r="H14" s="40">
        <v>1597.1019821456441</v>
      </c>
      <c r="I14" s="6">
        <f t="shared" ca="1" si="3"/>
        <v>4</v>
      </c>
      <c r="J14" s="42">
        <f t="shared" ca="1" si="4"/>
        <v>1727.3309416543379</v>
      </c>
      <c r="K14" s="42" t="str">
        <f t="shared" ca="1" si="5"/>
        <v>Fixed assets / sales</v>
      </c>
      <c r="L14" s="42" t="str">
        <f t="shared" ca="1" si="6"/>
        <v/>
      </c>
      <c r="M14" s="42">
        <f t="shared" ca="1" si="8"/>
        <v>1597.1019821456441</v>
      </c>
      <c r="N14" s="42">
        <f t="shared" ca="1" si="7"/>
        <v>130.22895950869383</v>
      </c>
    </row>
    <row r="15" spans="1:14">
      <c r="A15" s="6" t="str">
        <f>Scenario_Analysing!D63</f>
        <v>Fixed assets / sales</v>
      </c>
      <c r="B15" s="41">
        <f>Scenario_Analysing!G63</f>
        <v>0.7</v>
      </c>
      <c r="C15" s="41">
        <f ca="1">IF(scenario="Base",Scenario_Analysing!G63,OFFSET(Scenario_Analysing!G63,0,scenario))</f>
        <v>0.65</v>
      </c>
      <c r="D15" s="6">
        <f t="shared" ca="1" si="0"/>
        <v>2</v>
      </c>
      <c r="E15" s="41">
        <f t="shared" si="1"/>
        <v>0.7</v>
      </c>
      <c r="F15" s="30">
        <f t="shared" si="2"/>
        <v>4</v>
      </c>
      <c r="G15" s="14">
        <v>2082.2128841471099</v>
      </c>
      <c r="H15" s="40">
        <v>1727.3309416543379</v>
      </c>
      <c r="I15" s="6">
        <f t="shared" ca="1" si="3"/>
        <v>5</v>
      </c>
      <c r="J15" s="42">
        <f t="shared" ca="1" si="4"/>
        <v>2082.2128841471099</v>
      </c>
      <c r="K15" s="42" t="str">
        <f t="shared" ca="1" si="5"/>
        <v>COGS / sales</v>
      </c>
      <c r="L15" s="42" t="str">
        <f t="shared" ca="1" si="6"/>
        <v/>
      </c>
      <c r="M15" s="42">
        <f t="shared" ca="1" si="8"/>
        <v>1727.3309416543379</v>
      </c>
      <c r="N15" s="42">
        <f t="shared" ca="1" si="7"/>
        <v>354.88194249277194</v>
      </c>
    </row>
    <row r="16" spans="1:14">
      <c r="A16" s="6" t="str">
        <f>Scenario_Analysing!D64</f>
        <v>COGS / sales</v>
      </c>
      <c r="B16" s="41">
        <f>Scenario_Analysing!G64</f>
        <v>0.55000000000000004</v>
      </c>
      <c r="C16" s="41">
        <f ca="1">IF(scenario="Base",Scenario_Analysing!G64,OFFSET(Scenario_Analysing!G64,0,scenario))</f>
        <v>0.5</v>
      </c>
      <c r="D16" s="6">
        <f t="shared" ca="1" si="0"/>
        <v>3</v>
      </c>
      <c r="E16" s="41">
        <f t="shared" si="1"/>
        <v>0.55000000000000004</v>
      </c>
      <c r="F16" s="30">
        <f t="shared" si="2"/>
        <v>5</v>
      </c>
      <c r="G16" s="14">
        <v>2082.2128841471099</v>
      </c>
      <c r="H16" s="40">
        <v>2082.2128841471099</v>
      </c>
      <c r="I16" s="6" t="e">
        <f t="shared" ca="1" si="3"/>
        <v>#N/A</v>
      </c>
      <c r="J16" s="42" t="e">
        <f t="shared" ca="1" si="4"/>
        <v>#N/A</v>
      </c>
      <c r="K16" s="42" t="str">
        <f t="shared" ca="1" si="5"/>
        <v>Scenario 3</v>
      </c>
      <c r="L16" s="42">
        <f t="shared" ca="1" si="6"/>
        <v>2082.2128841471099</v>
      </c>
      <c r="M16" s="42" t="str">
        <f t="shared" ca="1" si="8"/>
        <v/>
      </c>
      <c r="N16" s="42" t="str">
        <f t="shared" ca="1" si="7"/>
        <v/>
      </c>
    </row>
    <row r="17" spans="1:14">
      <c r="A17" s="6" t="str">
        <f>Scenario_Analysing!D65</f>
        <v>Depreciation</v>
      </c>
      <c r="B17" s="41">
        <f>Scenario_Analysing!G65</f>
        <v>0.15</v>
      </c>
      <c r="C17" s="41">
        <f ca="1">IF(scenario="Base",Scenario_Analysing!G65,OFFSET(Scenario_Analysing!G65,0,scenario))</f>
        <v>0.15</v>
      </c>
      <c r="D17" s="6">
        <f t="shared" ca="1" si="0"/>
        <v>3</v>
      </c>
      <c r="E17" s="41">
        <f t="shared" si="1"/>
        <v>0.15</v>
      </c>
      <c r="F17" s="30">
        <f t="shared" si="2"/>
        <v>6</v>
      </c>
      <c r="G17" s="14">
        <v>2082.2128841471099</v>
      </c>
      <c r="H17" s="40">
        <v>2082.2128841471099</v>
      </c>
      <c r="I17" s="6" t="e">
        <f t="shared" ca="1" si="3"/>
        <v>#N/A</v>
      </c>
      <c r="J17" s="42" t="e">
        <f t="shared" ca="1" si="4"/>
        <v>#N/A</v>
      </c>
      <c r="K17" s="42" t="e">
        <f t="shared" ca="1" si="5"/>
        <v>#N/A</v>
      </c>
      <c r="L17" s="42" t="str">
        <f t="shared" ca="1" si="6"/>
        <v/>
      </c>
      <c r="M17" s="42" t="str">
        <f t="shared" ca="1" si="8"/>
        <v/>
      </c>
      <c r="N17" s="42" t="str">
        <f t="shared" ca="1" si="7"/>
        <v/>
      </c>
    </row>
    <row r="18" spans="1:14">
      <c r="A18" s="6" t="str">
        <f>Scenario_Analysing!D66</f>
        <v>Int. on debt</v>
      </c>
      <c r="B18" s="41">
        <f>Scenario_Analysing!G66</f>
        <v>0.08</v>
      </c>
      <c r="C18" s="41">
        <f ca="1">IF(scenario="Base",Scenario_Analysing!G66,OFFSET(Scenario_Analysing!G66,0,scenario))</f>
        <v>0.08</v>
      </c>
      <c r="D18" s="6">
        <f t="shared" ca="1" si="0"/>
        <v>3</v>
      </c>
      <c r="E18" s="41">
        <f t="shared" si="1"/>
        <v>0.08</v>
      </c>
      <c r="F18" s="30">
        <f t="shared" si="2"/>
        <v>7</v>
      </c>
      <c r="G18" s="14">
        <v>2082.2128841471099</v>
      </c>
      <c r="H18" s="40">
        <v>2082.2128841471099</v>
      </c>
      <c r="I18" s="6" t="e">
        <f t="shared" ca="1" si="3"/>
        <v>#N/A</v>
      </c>
      <c r="J18" s="42" t="e">
        <f t="shared" ca="1" si="4"/>
        <v>#N/A</v>
      </c>
      <c r="K18" s="42" t="e">
        <f t="shared" ca="1" si="5"/>
        <v>#N/A</v>
      </c>
      <c r="L18" s="42" t="str">
        <f t="shared" ca="1" si="6"/>
        <v/>
      </c>
      <c r="M18" s="42" t="str">
        <f t="shared" ca="1" si="8"/>
        <v/>
      </c>
      <c r="N18" s="42" t="str">
        <f t="shared" ca="1" si="7"/>
        <v/>
      </c>
    </row>
    <row r="19" spans="1:14">
      <c r="A19" s="6" t="str">
        <f>Scenario_Analysing!D67</f>
        <v>Int. on cash</v>
      </c>
      <c r="B19" s="41">
        <f>Scenario_Analysing!G67</f>
        <v>0.05</v>
      </c>
      <c r="C19" s="41">
        <f ca="1">IF(scenario="Base",Scenario_Analysing!G67,OFFSET(Scenario_Analysing!G67,0,scenario))</f>
        <v>0.05</v>
      </c>
      <c r="D19" s="6">
        <f t="shared" ca="1" si="0"/>
        <v>3</v>
      </c>
      <c r="E19" s="41">
        <f t="shared" si="1"/>
        <v>0.05</v>
      </c>
      <c r="F19" s="30">
        <f t="shared" si="2"/>
        <v>8</v>
      </c>
      <c r="G19" s="14">
        <v>2082.2128841471099</v>
      </c>
      <c r="H19" s="40">
        <v>2082.2128841471099</v>
      </c>
      <c r="I19" s="6" t="e">
        <f t="shared" ca="1" si="3"/>
        <v>#N/A</v>
      </c>
      <c r="J19" s="42" t="e">
        <f t="shared" ca="1" si="4"/>
        <v>#N/A</v>
      </c>
      <c r="K19" s="42" t="e">
        <f t="shared" ca="1" si="5"/>
        <v>#N/A</v>
      </c>
      <c r="L19" s="42" t="str">
        <f t="shared" ca="1" si="6"/>
        <v/>
      </c>
      <c r="M19" s="42" t="str">
        <f t="shared" ca="1" si="8"/>
        <v/>
      </c>
      <c r="N19" s="42" t="str">
        <f t="shared" ca="1" si="7"/>
        <v/>
      </c>
    </row>
    <row r="20" spans="1:14">
      <c r="A20" s="6" t="str">
        <f>Scenario_Analysing!D68</f>
        <v>Tax rate</v>
      </c>
      <c r="B20" s="41">
        <f>Scenario_Analysing!G68</f>
        <v>0.33</v>
      </c>
      <c r="C20" s="41">
        <f ca="1">IF(scenario="Base",Scenario_Analysing!G68,OFFSET(Scenario_Analysing!G68,0,scenario))</f>
        <v>0.33</v>
      </c>
      <c r="D20" s="6">
        <f t="shared" ca="1" si="0"/>
        <v>3</v>
      </c>
      <c r="E20" s="41">
        <f t="shared" si="1"/>
        <v>0.33</v>
      </c>
      <c r="F20" s="30">
        <f t="shared" si="2"/>
        <v>9</v>
      </c>
      <c r="G20" s="14">
        <v>2082.2128841471099</v>
      </c>
      <c r="H20" s="40">
        <v>2082.2128841471099</v>
      </c>
      <c r="I20" s="6" t="e">
        <f t="shared" ca="1" si="3"/>
        <v>#N/A</v>
      </c>
      <c r="J20" s="42" t="e">
        <f t="shared" ca="1" si="4"/>
        <v>#N/A</v>
      </c>
      <c r="K20" s="42" t="e">
        <f t="shared" ca="1" si="5"/>
        <v>#N/A</v>
      </c>
      <c r="L20" s="42" t="str">
        <f t="shared" ca="1" si="6"/>
        <v/>
      </c>
      <c r="M20" s="42" t="str">
        <f t="shared" ca="1" si="8"/>
        <v/>
      </c>
      <c r="N20" s="42" t="str">
        <f t="shared" ca="1" si="7"/>
        <v/>
      </c>
    </row>
    <row r="21" spans="1:14">
      <c r="A21" s="6" t="str">
        <f>Scenario_Analysing!D69</f>
        <v>Div payout ratio</v>
      </c>
      <c r="B21" s="41">
        <f>Scenario_Analysing!G69</f>
        <v>0.55000000000000004</v>
      </c>
      <c r="C21" s="41">
        <f ca="1">IF(scenario="Base",Scenario_Analysing!G69,OFFSET(Scenario_Analysing!G69,0,scenario))</f>
        <v>0.55000000000000004</v>
      </c>
      <c r="D21" s="6">
        <f t="shared" ca="1" si="0"/>
        <v>3</v>
      </c>
      <c r="E21" s="41">
        <f t="shared" si="1"/>
        <v>0.55000000000000004</v>
      </c>
      <c r="F21" s="30">
        <f t="shared" si="2"/>
        <v>10</v>
      </c>
      <c r="G21" s="14">
        <v>2082.2128841471099</v>
      </c>
      <c r="H21" s="40">
        <v>2082.2128841471099</v>
      </c>
      <c r="I21" s="6" t="e">
        <f t="shared" ca="1" si="3"/>
        <v>#N/A</v>
      </c>
      <c r="J21" s="42" t="e">
        <f t="shared" ca="1" si="4"/>
        <v>#N/A</v>
      </c>
      <c r="K21" s="42" t="e">
        <f t="shared" ca="1" si="5"/>
        <v>#N/A</v>
      </c>
      <c r="L21" s="42" t="str">
        <f t="shared" ca="1" si="6"/>
        <v/>
      </c>
      <c r="M21" s="42" t="str">
        <f t="shared" ca="1" si="8"/>
        <v/>
      </c>
      <c r="N21" s="42" t="str">
        <f t="shared" ca="1" si="7"/>
        <v/>
      </c>
    </row>
    <row r="22" spans="1:14">
      <c r="A22" s="6" t="str">
        <f>Scenario_Analysing!D70</f>
        <v>Discount rate</v>
      </c>
      <c r="B22" s="41">
        <f>Scenario_Analysing!G70</f>
        <v>0.18</v>
      </c>
      <c r="C22" s="41">
        <f ca="1">IF(scenario="Base",Scenario_Analysing!G70,OFFSET(Scenario_Analysing!G70,0,scenario))</f>
        <v>0.18</v>
      </c>
      <c r="D22" s="6">
        <f t="shared" ca="1" si="0"/>
        <v>3</v>
      </c>
      <c r="E22" s="41">
        <f t="shared" si="1"/>
        <v>0.18</v>
      </c>
      <c r="F22" s="30">
        <f t="shared" si="2"/>
        <v>11</v>
      </c>
      <c r="G22" s="14">
        <v>2082.2128841471099</v>
      </c>
      <c r="H22" s="40">
        <v>2082.2128841471099</v>
      </c>
      <c r="I22" s="6" t="e">
        <f t="shared" ca="1" si="3"/>
        <v>#N/A</v>
      </c>
      <c r="J22" s="42" t="e">
        <f t="shared" ca="1" si="4"/>
        <v>#N/A</v>
      </c>
      <c r="K22" s="42" t="e">
        <f t="shared" ca="1" si="5"/>
        <v>#N/A</v>
      </c>
      <c r="L22" s="42" t="str">
        <f t="shared" ca="1" si="6"/>
        <v/>
      </c>
      <c r="M22" s="42" t="str">
        <f t="shared" ca="1" si="8"/>
        <v/>
      </c>
      <c r="N22" s="42" t="str">
        <f t="shared" ca="1" si="7"/>
        <v/>
      </c>
    </row>
    <row r="23" spans="1:14">
      <c r="A23" s="6" t="str">
        <f>Scenario_Analysing!D71</f>
        <v>TVM</v>
      </c>
      <c r="B23" s="41">
        <f>Scenario_Analysing!G71</f>
        <v>12</v>
      </c>
      <c r="C23" s="41">
        <f ca="1">IF(scenario="Base",Scenario_Analysing!G71,OFFSET(Scenario_Analysing!G71,0,scenario))</f>
        <v>12</v>
      </c>
      <c r="D23" s="6">
        <f t="shared" ca="1" si="0"/>
        <v>3</v>
      </c>
      <c r="E23" s="43">
        <f t="shared" si="1"/>
        <v>12</v>
      </c>
      <c r="F23" s="31">
        <f t="shared" si="2"/>
        <v>12</v>
      </c>
      <c r="G23" s="44">
        <v>2082.2128841471099</v>
      </c>
      <c r="H23" s="45">
        <v>2082.2128841471099</v>
      </c>
      <c r="I23" s="6" t="e">
        <f t="shared" ca="1" si="3"/>
        <v>#N/A</v>
      </c>
      <c r="J23" s="42" t="e">
        <f t="shared" ca="1" si="4"/>
        <v>#N/A</v>
      </c>
      <c r="K23" s="42" t="e">
        <f t="shared" ca="1" si="5"/>
        <v>#N/A</v>
      </c>
      <c r="L23" s="42" t="str">
        <f t="shared" ca="1" si="6"/>
        <v/>
      </c>
      <c r="M23" s="42" t="str">
        <f t="shared" ca="1" si="8"/>
        <v/>
      </c>
      <c r="N23" s="42" t="str">
        <f t="shared" ca="1" si="7"/>
        <v/>
      </c>
    </row>
    <row r="24" spans="1:14">
      <c r="F24" s="41"/>
    </row>
    <row r="25" spans="1:14">
      <c r="B25" s="42" t="s">
        <v>1351</v>
      </c>
      <c r="F25" s="41"/>
    </row>
    <row r="26" spans="1:14">
      <c r="B26" s="6">
        <f ca="1">Scenario_Analysing!F144</f>
        <v>2082.2128841471099</v>
      </c>
      <c r="C26" s="6" t="s">
        <v>1575</v>
      </c>
      <c r="D26" s="6">
        <v>1</v>
      </c>
      <c r="E26" s="6">
        <f>D26+1</f>
        <v>2</v>
      </c>
      <c r="F26" s="6">
        <f>E26+1</f>
        <v>3</v>
      </c>
      <c r="G26" s="6">
        <f>F26+1</f>
        <v>4</v>
      </c>
      <c r="H26" s="6">
        <f>G26+1</f>
        <v>5</v>
      </c>
      <c r="I26" s="6">
        <f>H26+1</f>
        <v>6</v>
      </c>
    </row>
    <row r="27" spans="1:14">
      <c r="B27" s="6">
        <v>0</v>
      </c>
      <c r="C27" s="42">
        <f t="dataTable" ref="C27:I28" dt2D="1" dtr="0" r1="B3" r2="B2" ca="1"/>
        <v>2082.2128841471099</v>
      </c>
      <c r="D27" s="6">
        <v>2082.2128841471099</v>
      </c>
      <c r="E27" s="6">
        <v>2082.2128841471099</v>
      </c>
      <c r="F27" s="6">
        <v>2082.2128841471099</v>
      </c>
      <c r="G27" s="6">
        <v>2082.2128841471099</v>
      </c>
      <c r="H27" s="6">
        <v>2082.2128841471099</v>
      </c>
      <c r="I27" s="6">
        <v>2082.2128841471099</v>
      </c>
      <c r="K27" s="42"/>
      <c r="L27" s="42"/>
      <c r="M27" s="42"/>
    </row>
    <row r="28" spans="1:14">
      <c r="B28" s="6">
        <v>1</v>
      </c>
      <c r="C28" s="46">
        <v>1563.2014127962655</v>
      </c>
      <c r="D28" s="46">
        <v>1404.7746609615122</v>
      </c>
      <c r="E28" s="46">
        <v>1276.1682259230281</v>
      </c>
      <c r="F28" s="46">
        <v>2082.2128841471099</v>
      </c>
      <c r="G28" s="46">
        <v>2005.2777937374308</v>
      </c>
      <c r="H28" s="6">
        <v>1739.0109164033302</v>
      </c>
      <c r="I28" s="6">
        <v>1792.2642918701504</v>
      </c>
      <c r="K28" s="42"/>
      <c r="L28" s="42"/>
      <c r="M28" s="42"/>
      <c r="N28" s="42"/>
    </row>
    <row r="29" spans="1:14">
      <c r="C29" s="46"/>
      <c r="D29" s="46"/>
      <c r="E29" s="46"/>
      <c r="F29" s="46"/>
      <c r="G29" s="46"/>
      <c r="I29" s="46"/>
      <c r="K29" s="42"/>
      <c r="L29" s="42"/>
      <c r="M29" s="42"/>
      <c r="N29" s="42"/>
    </row>
    <row r="30" spans="1:14">
      <c r="A30" s="13" t="e">
        <f ca="1">_xludf.EOMONTH()</f>
        <v>#NAME?</v>
      </c>
      <c r="C30" s="46"/>
      <c r="D30" s="46"/>
      <c r="E30" s="46"/>
      <c r="F30" s="46"/>
      <c r="G30" s="46"/>
      <c r="I30" s="46"/>
      <c r="K30" s="42"/>
      <c r="L30" s="42"/>
      <c r="M30" s="42"/>
      <c r="N30" s="42"/>
    </row>
    <row r="31" spans="1:14">
      <c r="C31" s="46"/>
      <c r="D31" s="46"/>
      <c r="E31" s="46"/>
      <c r="F31" s="46"/>
      <c r="G31" s="46"/>
      <c r="I31" s="46"/>
      <c r="K31" s="42"/>
      <c r="L31" s="42"/>
      <c r="M31" s="42"/>
      <c r="N31" s="42"/>
    </row>
    <row r="32" spans="1:14">
      <c r="C32" s="46"/>
      <c r="D32" s="46"/>
      <c r="E32" s="46"/>
      <c r="F32" s="46"/>
      <c r="G32" s="46"/>
      <c r="K32" s="42"/>
      <c r="L32" s="42"/>
      <c r="M32" s="42"/>
      <c r="N32" s="42"/>
    </row>
    <row r="33" spans="11:13">
      <c r="K33" s="42"/>
      <c r="L33" s="42"/>
      <c r="M33" s="42"/>
    </row>
  </sheetData>
  <sheetProtection algorithmName="SHA-512" hashValue="ega8xtDHmoM15UhVMAXrXw0+9rYGRDtNeH2dBI6WUV81Ouk8JRshOeLcRg/RTYFP5qqeIIw/QXJKYZeiKCye6Q==" saltValue="YTeAhKzbQDb3Fa4uB0GyPg==" spinCount="100000" sheet="1" objects="1" scenarios="1"/>
  <mergeCells count="1">
    <mergeCell ref="F9:H9"/>
  </mergeCells>
  <phoneticPr fontId="2" type="noConversion"/>
  <conditionalFormatting sqref="B12:C23">
    <cfRule type="expression" dxfId="59" priority="1" stopIfTrue="1">
      <formula>$C12&lt;&gt;$B12</formula>
    </cfRule>
  </conditionalFormatting>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dimension ref="A1:O124"/>
  <sheetViews>
    <sheetView workbookViewId="0"/>
  </sheetViews>
  <sheetFormatPr defaultColWidth="9.1796875" defaultRowHeight="12.5" zeroHeight="1"/>
  <cols>
    <col min="1" max="1" width="1" style="49" customWidth="1"/>
    <col min="2" max="2" width="1" style="3" customWidth="1"/>
    <col min="3" max="3" width="2.1796875" style="3" customWidth="1"/>
    <col min="4" max="7" width="9.1796875" style="3"/>
    <col min="8" max="8" width="2.54296875" style="3" customWidth="1"/>
    <col min="9" max="14" width="9.1796875" style="3"/>
    <col min="15" max="15" width="2.453125" style="3" customWidth="1"/>
    <col min="16" max="16" width="3.26953125" style="3" customWidth="1"/>
    <col min="17" max="16384" width="9.1796875" style="3"/>
  </cols>
  <sheetData>
    <row r="1" spans="2:15">
      <c r="B1" s="47"/>
      <c r="C1" s="47"/>
      <c r="D1" s="47"/>
      <c r="E1" s="47"/>
      <c r="F1" s="47"/>
      <c r="G1" s="47"/>
      <c r="H1" s="47"/>
      <c r="I1" s="47"/>
      <c r="J1" s="47"/>
      <c r="K1" s="47"/>
      <c r="L1" s="47"/>
      <c r="M1" s="47"/>
      <c r="N1" s="47"/>
      <c r="O1" s="48"/>
    </row>
    <row r="2" spans="2:15">
      <c r="B2" s="49"/>
      <c r="C2" s="1608" t="s">
        <v>1595</v>
      </c>
      <c r="D2" s="1608"/>
      <c r="E2" s="1608"/>
      <c r="F2" s="1608"/>
      <c r="G2" s="1608"/>
      <c r="H2" s="1608"/>
      <c r="I2" s="1608"/>
      <c r="J2" s="1608"/>
      <c r="K2" s="1608"/>
      <c r="L2" s="1608"/>
      <c r="M2" s="1608"/>
      <c r="N2" s="1608"/>
      <c r="O2" s="50"/>
    </row>
    <row r="3" spans="2:15">
      <c r="B3" s="49"/>
      <c r="C3" s="1609"/>
      <c r="D3" s="1609"/>
      <c r="E3" s="1609"/>
      <c r="F3" s="1609"/>
      <c r="G3" s="1609"/>
      <c r="H3" s="1609"/>
      <c r="I3" s="1609"/>
      <c r="J3" s="1609"/>
      <c r="K3" s="1609"/>
      <c r="L3" s="1609"/>
      <c r="M3" s="1609"/>
      <c r="N3" s="1609"/>
      <c r="O3" s="50"/>
    </row>
    <row r="4" spans="2:15" ht="13">
      <c r="B4" s="49"/>
      <c r="C4" s="51"/>
      <c r="D4" s="51"/>
      <c r="E4" s="51"/>
      <c r="F4" s="51"/>
      <c r="G4" s="51"/>
      <c r="H4" s="51"/>
      <c r="I4" s="51"/>
      <c r="J4" s="51"/>
      <c r="K4" s="51"/>
      <c r="L4" s="51"/>
      <c r="M4" s="51"/>
      <c r="N4" s="51"/>
      <c r="O4" s="50"/>
    </row>
    <row r="5" spans="2:15">
      <c r="B5" s="49"/>
      <c r="C5" s="1613" t="s">
        <v>1596</v>
      </c>
      <c r="D5" s="1613"/>
      <c r="E5" s="1613"/>
      <c r="F5" s="1613"/>
      <c r="G5" s="1613"/>
      <c r="H5" s="1613"/>
      <c r="I5" s="1613"/>
      <c r="J5" s="1613"/>
      <c r="K5" s="1613"/>
      <c r="L5" s="1613"/>
      <c r="M5" s="1613"/>
      <c r="N5" s="1613"/>
      <c r="O5" s="50"/>
    </row>
    <row r="6" spans="2:15">
      <c r="B6" s="49"/>
      <c r="C6" s="1615" t="s">
        <v>1597</v>
      </c>
      <c r="D6" s="1616"/>
      <c r="E6" s="1616"/>
      <c r="F6" s="1616"/>
      <c r="G6" s="1616"/>
      <c r="H6" s="1616"/>
      <c r="I6" s="1616"/>
      <c r="J6" s="1616"/>
      <c r="K6" s="1616"/>
      <c r="L6" s="1616"/>
      <c r="M6" s="1616"/>
      <c r="N6" s="1616"/>
      <c r="O6" s="50"/>
    </row>
    <row r="7" spans="2:15">
      <c r="B7" s="49"/>
      <c r="C7" s="1615" t="s">
        <v>45</v>
      </c>
      <c r="D7" s="1616"/>
      <c r="E7" s="1616"/>
      <c r="F7" s="1616"/>
      <c r="G7" s="1616"/>
      <c r="H7" s="1616"/>
      <c r="I7" s="1616"/>
      <c r="J7" s="1616"/>
      <c r="K7" s="52"/>
      <c r="L7" s="52"/>
      <c r="M7" s="52"/>
      <c r="N7" s="52"/>
      <c r="O7" s="50"/>
    </row>
    <row r="8" spans="2:15">
      <c r="B8" s="49"/>
      <c r="C8" s="1615" t="s">
        <v>46</v>
      </c>
      <c r="D8" s="1616"/>
      <c r="E8" s="1616"/>
      <c r="F8" s="1616"/>
      <c r="G8" s="1616"/>
      <c r="H8" s="1616"/>
      <c r="I8" s="1616"/>
      <c r="J8" s="1616"/>
      <c r="K8" s="1616"/>
      <c r="L8" s="1616"/>
      <c r="M8" s="1616"/>
      <c r="N8" s="1616"/>
      <c r="O8" s="50"/>
    </row>
    <row r="9" spans="2:15">
      <c r="B9" s="49"/>
      <c r="C9" s="1618" t="s">
        <v>47</v>
      </c>
      <c r="D9" s="1616"/>
      <c r="E9" s="1616"/>
      <c r="F9" s="1616"/>
      <c r="G9" s="1616"/>
      <c r="H9" s="1616"/>
      <c r="I9" s="1616"/>
      <c r="J9" s="1616"/>
      <c r="K9" s="1616"/>
      <c r="L9" s="1616"/>
      <c r="M9" s="1616"/>
      <c r="N9" s="1616"/>
      <c r="O9" s="50"/>
    </row>
    <row r="10" spans="2:15">
      <c r="B10" s="49"/>
      <c r="C10" s="1615" t="s">
        <v>49</v>
      </c>
      <c r="D10" s="1616"/>
      <c r="E10" s="1616"/>
      <c r="F10" s="1616"/>
      <c r="G10" s="1616"/>
      <c r="H10" s="1616"/>
      <c r="I10" s="1616"/>
      <c r="J10" s="1616"/>
      <c r="K10" s="1616"/>
      <c r="L10" s="1616"/>
      <c r="M10" s="1616"/>
      <c r="N10" s="1616"/>
      <c r="O10" s="50"/>
    </row>
    <row r="11" spans="2:15">
      <c r="B11" s="49"/>
      <c r="C11" s="49"/>
      <c r="D11" s="49"/>
      <c r="E11" s="49"/>
      <c r="F11" s="49"/>
      <c r="G11" s="49"/>
      <c r="H11" s="49"/>
      <c r="I11" s="49"/>
      <c r="J11" s="49"/>
      <c r="K11" s="49"/>
      <c r="L11" s="49"/>
      <c r="M11" s="49"/>
      <c r="N11" s="49"/>
      <c r="O11" s="50"/>
    </row>
    <row r="12" spans="2:15" ht="13">
      <c r="B12" s="49"/>
      <c r="C12" s="1612" t="s">
        <v>1597</v>
      </c>
      <c r="D12" s="1612"/>
      <c r="E12" s="1612"/>
      <c r="F12" s="1612"/>
      <c r="G12" s="1612"/>
      <c r="H12" s="1612"/>
      <c r="I12" s="1612"/>
      <c r="J12" s="1612"/>
      <c r="K12" s="1612"/>
      <c r="L12" s="1612"/>
      <c r="M12" s="1612"/>
      <c r="N12" s="1612"/>
      <c r="O12" s="50"/>
    </row>
    <row r="13" spans="2:15" ht="13">
      <c r="B13" s="49"/>
      <c r="C13" s="51"/>
      <c r="D13" s="51"/>
      <c r="E13" s="51"/>
      <c r="F13" s="51"/>
      <c r="G13" s="51"/>
      <c r="H13" s="51"/>
      <c r="I13" s="51"/>
      <c r="J13" s="51"/>
      <c r="K13" s="51"/>
      <c r="L13" s="51"/>
      <c r="M13" s="51"/>
      <c r="N13" s="51"/>
      <c r="O13" s="50"/>
    </row>
    <row r="14" spans="2:15">
      <c r="B14" s="49"/>
      <c r="C14" s="1619" t="s">
        <v>50</v>
      </c>
      <c r="D14" s="1614"/>
      <c r="E14" s="1614"/>
      <c r="F14" s="1614"/>
      <c r="G14" s="1614"/>
      <c r="H14" s="1614"/>
      <c r="I14" s="1614"/>
      <c r="J14" s="1614"/>
      <c r="K14" s="1614"/>
      <c r="L14" s="1614"/>
      <c r="M14" s="1614"/>
      <c r="N14" s="1614"/>
      <c r="O14" s="50"/>
    </row>
    <row r="15" spans="2:15">
      <c r="B15" s="49"/>
      <c r="C15" s="1614"/>
      <c r="D15" s="1614"/>
      <c r="E15" s="1614"/>
      <c r="F15" s="1614"/>
      <c r="G15" s="1614"/>
      <c r="H15" s="1614"/>
      <c r="I15" s="1614"/>
      <c r="J15" s="1614"/>
      <c r="K15" s="1614"/>
      <c r="L15" s="1614"/>
      <c r="M15" s="1614"/>
      <c r="N15" s="1614"/>
      <c r="O15" s="50"/>
    </row>
    <row r="16" spans="2:15">
      <c r="B16" s="49"/>
      <c r="C16" s="49"/>
      <c r="D16" s="49"/>
      <c r="E16" s="49"/>
      <c r="F16" s="49"/>
      <c r="G16" s="49"/>
      <c r="H16" s="49"/>
      <c r="I16" s="49"/>
      <c r="J16" s="49"/>
      <c r="K16" s="49"/>
      <c r="L16" s="49"/>
      <c r="M16" s="49"/>
      <c r="N16" s="49"/>
      <c r="O16" s="50"/>
    </row>
    <row r="17" spans="2:15">
      <c r="B17" s="49"/>
      <c r="C17" s="49"/>
      <c r="D17" s="49"/>
      <c r="E17" s="49"/>
      <c r="F17" s="49"/>
      <c r="G17" s="49"/>
      <c r="H17" s="49"/>
      <c r="I17" s="49"/>
      <c r="J17" s="49"/>
      <c r="K17" s="49"/>
      <c r="L17" s="49"/>
      <c r="M17" s="49"/>
      <c r="N17" s="49"/>
      <c r="O17" s="50"/>
    </row>
    <row r="18" spans="2:15">
      <c r="B18" s="49"/>
      <c r="C18" s="49"/>
      <c r="D18" s="49"/>
      <c r="E18" s="49"/>
      <c r="F18" s="49"/>
      <c r="G18" s="49"/>
      <c r="H18" s="49"/>
      <c r="I18" s="49"/>
      <c r="J18" s="49"/>
      <c r="K18" s="49"/>
      <c r="L18" s="49"/>
      <c r="M18" s="49"/>
      <c r="N18" s="49"/>
      <c r="O18" s="50"/>
    </row>
    <row r="19" spans="2:15">
      <c r="B19" s="49"/>
      <c r="C19" s="49"/>
      <c r="D19" s="49"/>
      <c r="E19" s="49"/>
      <c r="F19" s="49"/>
      <c r="G19" s="49"/>
      <c r="H19" s="49"/>
      <c r="I19" s="49"/>
      <c r="J19" s="49"/>
      <c r="K19" s="49"/>
      <c r="L19" s="49"/>
      <c r="M19" s="49"/>
      <c r="N19" s="49"/>
      <c r="O19" s="50"/>
    </row>
    <row r="20" spans="2:15">
      <c r="B20" s="49"/>
      <c r="C20" s="49" t="s">
        <v>51</v>
      </c>
      <c r="D20" s="49"/>
      <c r="E20" s="49"/>
      <c r="F20" s="49"/>
      <c r="G20" s="49"/>
      <c r="H20" s="49"/>
      <c r="I20" s="49"/>
      <c r="J20" s="49"/>
      <c r="K20" s="49"/>
      <c r="L20" s="49"/>
      <c r="M20" s="49"/>
      <c r="N20" s="49"/>
      <c r="O20" s="50"/>
    </row>
    <row r="21" spans="2:15">
      <c r="B21" s="49"/>
      <c r="C21" s="49"/>
      <c r="D21" s="49"/>
      <c r="E21" s="49"/>
      <c r="F21" s="49"/>
      <c r="G21" s="49"/>
      <c r="H21" s="49"/>
      <c r="I21" s="49"/>
      <c r="J21" s="49"/>
      <c r="K21" s="49"/>
      <c r="L21" s="49"/>
      <c r="M21" s="49"/>
      <c r="N21" s="49"/>
      <c r="O21" s="50"/>
    </row>
    <row r="22" spans="2:15">
      <c r="B22" s="49"/>
      <c r="C22" s="49"/>
      <c r="D22" s="49"/>
      <c r="E22" s="49"/>
      <c r="F22" s="49"/>
      <c r="G22" s="49"/>
      <c r="H22" s="49"/>
      <c r="I22" s="49"/>
      <c r="J22" s="49"/>
      <c r="K22" s="49"/>
      <c r="L22" s="49"/>
      <c r="M22" s="49"/>
      <c r="N22" s="49"/>
      <c r="O22" s="50"/>
    </row>
    <row r="23" spans="2:15">
      <c r="B23" s="49"/>
      <c r="C23" s="49"/>
      <c r="D23" s="49"/>
      <c r="E23" s="49"/>
      <c r="F23" s="49"/>
      <c r="G23" s="49"/>
      <c r="H23" s="49"/>
      <c r="I23" s="49"/>
      <c r="J23" s="49"/>
      <c r="K23" s="49"/>
      <c r="L23" s="49"/>
      <c r="M23" s="49"/>
      <c r="N23" s="49"/>
      <c r="O23" s="50"/>
    </row>
    <row r="24" spans="2:15">
      <c r="B24" s="49"/>
      <c r="C24" s="49"/>
      <c r="D24" s="49"/>
      <c r="E24" s="49"/>
      <c r="F24" s="49"/>
      <c r="G24" s="49"/>
      <c r="H24" s="49"/>
      <c r="I24" s="49"/>
      <c r="J24" s="49"/>
      <c r="K24" s="49"/>
      <c r="L24" s="49"/>
      <c r="M24" s="49"/>
      <c r="N24" s="49"/>
      <c r="O24" s="50"/>
    </row>
    <row r="25" spans="2:15">
      <c r="B25" s="49"/>
      <c r="C25" s="49"/>
      <c r="D25" s="49"/>
      <c r="E25" s="49"/>
      <c r="F25" s="49"/>
      <c r="G25" s="49"/>
      <c r="H25" s="49"/>
      <c r="I25" s="49"/>
      <c r="J25" s="49"/>
      <c r="K25" s="49"/>
      <c r="L25" s="49"/>
      <c r="M25" s="49"/>
      <c r="N25" s="49"/>
      <c r="O25" s="50"/>
    </row>
    <row r="26" spans="2:15">
      <c r="B26" s="49"/>
      <c r="C26" s="49"/>
      <c r="D26" s="49"/>
      <c r="E26" s="49"/>
      <c r="F26" s="49"/>
      <c r="G26" s="49"/>
      <c r="H26" s="49"/>
      <c r="I26" s="49"/>
      <c r="J26" s="49"/>
      <c r="K26" s="49"/>
      <c r="L26" s="49"/>
      <c r="M26" s="49"/>
      <c r="N26" s="49"/>
      <c r="O26" s="50"/>
    </row>
    <row r="27" spans="2:15">
      <c r="B27" s="49"/>
      <c r="C27" s="49"/>
      <c r="D27" s="49"/>
      <c r="E27" s="49"/>
      <c r="F27" s="49"/>
      <c r="G27" s="49"/>
      <c r="H27" s="49"/>
      <c r="I27" s="49"/>
      <c r="J27" s="49"/>
      <c r="K27" s="49"/>
      <c r="L27" s="49"/>
      <c r="M27" s="49"/>
      <c r="N27" s="49"/>
      <c r="O27" s="50"/>
    </row>
    <row r="28" spans="2:15">
      <c r="B28" s="49"/>
      <c r="C28" s="1614" t="s">
        <v>52</v>
      </c>
      <c r="D28" s="1614"/>
      <c r="E28" s="1614"/>
      <c r="F28" s="1614"/>
      <c r="G28" s="1614"/>
      <c r="H28" s="1614"/>
      <c r="I28" s="1614"/>
      <c r="J28" s="1614"/>
      <c r="K28" s="1614"/>
      <c r="L28" s="1614"/>
      <c r="M28" s="1614"/>
      <c r="N28" s="1614"/>
      <c r="O28" s="50"/>
    </row>
    <row r="29" spans="2:15">
      <c r="B29" s="49"/>
      <c r="C29" s="1614"/>
      <c r="D29" s="1614"/>
      <c r="E29" s="1614"/>
      <c r="F29" s="1614"/>
      <c r="G29" s="1614"/>
      <c r="H29" s="1614"/>
      <c r="I29" s="1614"/>
      <c r="J29" s="1614"/>
      <c r="K29" s="1614"/>
      <c r="L29" s="1614"/>
      <c r="M29" s="1614"/>
      <c r="N29" s="1614"/>
      <c r="O29" s="50"/>
    </row>
    <row r="30" spans="2:15">
      <c r="B30" s="49"/>
      <c r="C30" s="49"/>
      <c r="D30" s="49"/>
      <c r="E30" s="49"/>
      <c r="F30" s="49"/>
      <c r="G30" s="49"/>
      <c r="H30" s="49"/>
      <c r="I30" s="49"/>
      <c r="J30" s="49"/>
      <c r="K30" s="49"/>
      <c r="L30" s="49"/>
      <c r="M30" s="49"/>
      <c r="N30" s="49"/>
      <c r="O30" s="50"/>
    </row>
    <row r="31" spans="2:15">
      <c r="B31" s="49"/>
      <c r="C31" s="49"/>
      <c r="D31" s="49"/>
      <c r="E31" s="49"/>
      <c r="F31" s="49"/>
      <c r="G31" s="49"/>
      <c r="H31" s="49"/>
      <c r="I31" s="49"/>
      <c r="J31" s="49"/>
      <c r="K31" s="49"/>
      <c r="L31" s="49"/>
      <c r="M31" s="49"/>
      <c r="N31" s="49"/>
      <c r="O31" s="50"/>
    </row>
    <row r="32" spans="2:15">
      <c r="B32" s="49"/>
      <c r="C32" s="49"/>
      <c r="D32" s="49"/>
      <c r="E32" s="49"/>
      <c r="F32" s="49"/>
      <c r="G32" s="49"/>
      <c r="H32" s="49"/>
      <c r="I32" s="49"/>
      <c r="J32" s="49"/>
      <c r="K32" s="49"/>
      <c r="L32" s="49"/>
      <c r="M32" s="49"/>
      <c r="N32" s="49"/>
      <c r="O32" s="50"/>
    </row>
    <row r="33" spans="2:15">
      <c r="B33" s="49"/>
      <c r="C33" s="49"/>
      <c r="D33" s="49"/>
      <c r="E33" s="49"/>
      <c r="F33" s="49"/>
      <c r="G33" s="49"/>
      <c r="H33" s="49"/>
      <c r="I33" s="49"/>
      <c r="J33" s="49"/>
      <c r="K33" s="49"/>
      <c r="L33" s="49"/>
      <c r="M33" s="49"/>
      <c r="N33" s="49"/>
      <c r="O33" s="50"/>
    </row>
    <row r="34" spans="2:15">
      <c r="B34" s="49"/>
      <c r="C34" s="49"/>
      <c r="D34" s="49"/>
      <c r="E34" s="49"/>
      <c r="F34" s="49"/>
      <c r="G34" s="49"/>
      <c r="H34" s="49"/>
      <c r="I34" s="49"/>
      <c r="J34" s="49"/>
      <c r="K34" s="49"/>
      <c r="L34" s="49"/>
      <c r="M34" s="49"/>
      <c r="N34" s="49"/>
      <c r="O34" s="50"/>
    </row>
    <row r="35" spans="2:15">
      <c r="B35" s="49"/>
      <c r="C35" s="49"/>
      <c r="D35" s="49"/>
      <c r="E35" s="49"/>
      <c r="F35" s="49"/>
      <c r="G35" s="49"/>
      <c r="H35" s="49"/>
      <c r="I35" s="49"/>
      <c r="J35" s="49"/>
      <c r="K35" s="49"/>
      <c r="L35" s="49"/>
      <c r="M35" s="49"/>
      <c r="N35" s="49"/>
      <c r="O35" s="50"/>
    </row>
    <row r="36" spans="2:15">
      <c r="B36" s="49"/>
      <c r="C36" s="49"/>
      <c r="D36" s="49"/>
      <c r="E36" s="49"/>
      <c r="F36" s="49"/>
      <c r="G36" s="49"/>
      <c r="H36" s="49"/>
      <c r="I36" s="49"/>
      <c r="J36" s="49"/>
      <c r="K36" s="49"/>
      <c r="L36" s="49"/>
      <c r="M36" s="49"/>
      <c r="N36" s="49"/>
      <c r="O36" s="50"/>
    </row>
    <row r="37" spans="2:15">
      <c r="B37" s="49"/>
      <c r="C37" s="49"/>
      <c r="D37" s="49"/>
      <c r="E37" s="49"/>
      <c r="F37" s="49"/>
      <c r="G37" s="49"/>
      <c r="H37" s="49"/>
      <c r="I37" s="49"/>
      <c r="J37" s="49"/>
      <c r="K37" s="49"/>
      <c r="L37" s="49"/>
      <c r="M37" s="49"/>
      <c r="N37" s="49"/>
      <c r="O37" s="50"/>
    </row>
    <row r="38" spans="2:15">
      <c r="B38" s="49"/>
      <c r="C38" s="49"/>
      <c r="D38" s="49"/>
      <c r="E38" s="49"/>
      <c r="F38" s="49"/>
      <c r="G38" s="49"/>
      <c r="H38" s="49"/>
      <c r="I38" s="49"/>
      <c r="J38" s="49"/>
      <c r="K38" s="49"/>
      <c r="L38" s="49"/>
      <c r="M38" s="49"/>
      <c r="N38" s="49"/>
      <c r="O38" s="50"/>
    </row>
    <row r="39" spans="2:15">
      <c r="B39" s="49"/>
      <c r="C39" s="49"/>
      <c r="D39" s="49"/>
      <c r="E39" s="49"/>
      <c r="F39" s="49"/>
      <c r="G39" s="49"/>
      <c r="H39" s="49"/>
      <c r="I39" s="49"/>
      <c r="J39" s="49"/>
      <c r="K39" s="49"/>
      <c r="L39" s="49"/>
      <c r="M39" s="49"/>
      <c r="N39" s="49"/>
      <c r="O39" s="50"/>
    </row>
    <row r="40" spans="2:15">
      <c r="B40" s="49"/>
      <c r="C40" s="49"/>
      <c r="D40" s="49"/>
      <c r="E40" s="49"/>
      <c r="F40" s="49"/>
      <c r="G40" s="49"/>
      <c r="H40" s="49"/>
      <c r="I40" s="49"/>
      <c r="J40" s="49"/>
      <c r="K40" s="49"/>
      <c r="L40" s="49"/>
      <c r="M40" s="49"/>
      <c r="N40" s="49"/>
      <c r="O40" s="50"/>
    </row>
    <row r="41" spans="2:15">
      <c r="B41" s="49"/>
      <c r="C41" s="49"/>
      <c r="D41" s="49"/>
      <c r="E41" s="49"/>
      <c r="F41" s="49"/>
      <c r="G41" s="49"/>
      <c r="H41" s="49"/>
      <c r="I41" s="49"/>
      <c r="J41" s="49"/>
      <c r="K41" s="49"/>
      <c r="L41" s="49"/>
      <c r="M41" s="49"/>
      <c r="N41" s="49"/>
      <c r="O41" s="50"/>
    </row>
    <row r="42" spans="2:15">
      <c r="B42" s="49"/>
      <c r="C42" s="49"/>
      <c r="D42" s="49"/>
      <c r="E42" s="49"/>
      <c r="F42" s="49"/>
      <c r="G42" s="49"/>
      <c r="H42" s="49"/>
      <c r="I42" s="49"/>
      <c r="J42" s="49"/>
      <c r="K42" s="49"/>
      <c r="L42" s="49"/>
      <c r="M42" s="49"/>
      <c r="N42" s="49"/>
      <c r="O42" s="50"/>
    </row>
    <row r="43" spans="2:15">
      <c r="B43" s="49"/>
      <c r="C43" s="49"/>
      <c r="D43" s="49"/>
      <c r="E43" s="49"/>
      <c r="F43" s="49"/>
      <c r="G43" s="49"/>
      <c r="H43" s="49"/>
      <c r="I43" s="49"/>
      <c r="J43" s="49"/>
      <c r="K43" s="49"/>
      <c r="L43" s="49"/>
      <c r="M43" s="49"/>
      <c r="N43" s="49"/>
      <c r="O43" s="50"/>
    </row>
    <row r="44" spans="2:15">
      <c r="B44" s="49"/>
      <c r="C44" s="49"/>
      <c r="D44" s="49"/>
      <c r="E44" s="49"/>
      <c r="F44" s="49"/>
      <c r="G44" s="49"/>
      <c r="H44" s="49"/>
      <c r="I44" s="49"/>
      <c r="J44" s="49"/>
      <c r="K44" s="49"/>
      <c r="L44" s="49"/>
      <c r="M44" s="49"/>
      <c r="N44" s="49"/>
      <c r="O44" s="50"/>
    </row>
    <row r="45" spans="2:15">
      <c r="B45" s="49"/>
      <c r="C45" s="1617" t="s">
        <v>53</v>
      </c>
      <c r="D45" s="1544"/>
      <c r="E45" s="1544"/>
      <c r="F45" s="1544"/>
      <c r="G45" s="1544"/>
      <c r="H45" s="1544"/>
      <c r="I45" s="1544"/>
      <c r="J45" s="1544"/>
      <c r="K45" s="1544"/>
      <c r="L45" s="1544"/>
      <c r="M45" s="1544"/>
      <c r="N45" s="1544"/>
      <c r="O45" s="50"/>
    </row>
    <row r="46" spans="2:15">
      <c r="B46" s="49"/>
      <c r="C46" s="1544"/>
      <c r="D46" s="1544"/>
      <c r="E46" s="1544"/>
      <c r="F46" s="1544"/>
      <c r="G46" s="1544"/>
      <c r="H46" s="1544"/>
      <c r="I46" s="1544"/>
      <c r="J46" s="1544"/>
      <c r="K46" s="1544"/>
      <c r="L46" s="1544"/>
      <c r="M46" s="1544"/>
      <c r="N46" s="1544"/>
      <c r="O46" s="50"/>
    </row>
    <row r="47" spans="2:15">
      <c r="B47" s="49"/>
      <c r="C47" s="1544"/>
      <c r="D47" s="1544"/>
      <c r="E47" s="1544"/>
      <c r="F47" s="1544"/>
      <c r="G47" s="1544"/>
      <c r="H47" s="1544"/>
      <c r="I47" s="1544"/>
      <c r="J47" s="1544"/>
      <c r="K47" s="1544"/>
      <c r="L47" s="1544"/>
      <c r="M47" s="1544"/>
      <c r="N47" s="1544"/>
      <c r="O47" s="50"/>
    </row>
    <row r="48" spans="2:15">
      <c r="B48" s="49"/>
      <c r="C48" s="1544"/>
      <c r="D48" s="1544"/>
      <c r="E48" s="1544"/>
      <c r="F48" s="1544"/>
      <c r="G48" s="1544"/>
      <c r="H48" s="1544"/>
      <c r="I48" s="1544"/>
      <c r="J48" s="1544"/>
      <c r="K48" s="1544"/>
      <c r="L48" s="1544"/>
      <c r="M48" s="1544"/>
      <c r="N48" s="1544"/>
      <c r="O48" s="50"/>
    </row>
    <row r="49" spans="2:15">
      <c r="B49" s="49"/>
      <c r="C49" s="1544"/>
      <c r="D49" s="1544"/>
      <c r="E49" s="1544"/>
      <c r="F49" s="1544"/>
      <c r="G49" s="1544"/>
      <c r="H49" s="1544"/>
      <c r="I49" s="1544"/>
      <c r="J49" s="1544"/>
      <c r="K49" s="1544"/>
      <c r="L49" s="1544"/>
      <c r="M49" s="1544"/>
      <c r="N49" s="1544"/>
      <c r="O49" s="50"/>
    </row>
    <row r="50" spans="2:15">
      <c r="B50" s="49"/>
      <c r="C50" s="49"/>
      <c r="D50" s="49"/>
      <c r="E50" s="49"/>
      <c r="F50" s="49"/>
      <c r="G50" s="49"/>
      <c r="H50" s="49"/>
      <c r="I50" s="49"/>
      <c r="J50" s="49"/>
      <c r="K50" s="49"/>
      <c r="L50" s="49"/>
      <c r="M50" s="49"/>
      <c r="N50" s="49"/>
      <c r="O50" s="50"/>
    </row>
    <row r="51" spans="2:15">
      <c r="B51" s="49"/>
      <c r="C51" s="49"/>
      <c r="D51" s="49"/>
      <c r="E51" s="49"/>
      <c r="F51" s="49"/>
      <c r="G51" s="49"/>
      <c r="H51" s="49"/>
      <c r="I51" s="49"/>
      <c r="J51" s="49"/>
      <c r="K51" s="49"/>
      <c r="L51" s="49"/>
      <c r="M51" s="49"/>
      <c r="N51" s="49"/>
      <c r="O51" s="50"/>
    </row>
    <row r="52" spans="2:15">
      <c r="B52" s="49"/>
      <c r="C52" s="49"/>
      <c r="D52" s="54"/>
      <c r="E52" s="49"/>
      <c r="F52" s="49"/>
      <c r="G52" s="49"/>
      <c r="H52" s="49"/>
      <c r="I52" s="49"/>
      <c r="J52" s="49"/>
      <c r="K52" s="49"/>
      <c r="L52" s="49"/>
      <c r="M52" s="49"/>
      <c r="N52" s="49"/>
      <c r="O52" s="50"/>
    </row>
    <row r="53" spans="2:15">
      <c r="B53" s="49"/>
      <c r="C53" s="49"/>
      <c r="D53" s="49"/>
      <c r="E53" s="49"/>
      <c r="F53" s="49"/>
      <c r="G53" s="49"/>
      <c r="H53" s="49"/>
      <c r="I53" s="49"/>
      <c r="J53" s="49"/>
      <c r="K53" s="49"/>
      <c r="L53" s="49"/>
      <c r="M53" s="49"/>
      <c r="N53" s="49"/>
      <c r="O53" s="50"/>
    </row>
    <row r="54" spans="2:15">
      <c r="B54" s="49"/>
      <c r="C54" s="49"/>
      <c r="D54" s="49"/>
      <c r="E54" s="49"/>
      <c r="F54" s="49"/>
      <c r="G54" s="49"/>
      <c r="H54" s="49"/>
      <c r="I54" s="49"/>
      <c r="J54" s="49"/>
      <c r="K54" s="49"/>
      <c r="L54" s="49"/>
      <c r="M54" s="49"/>
      <c r="N54" s="49"/>
      <c r="O54" s="50"/>
    </row>
    <row r="55" spans="2:15">
      <c r="B55" s="49"/>
      <c r="C55" s="49"/>
      <c r="D55" s="49"/>
      <c r="E55" s="49"/>
      <c r="F55" s="49"/>
      <c r="G55" s="49"/>
      <c r="H55" s="49"/>
      <c r="I55" s="49"/>
      <c r="J55" s="49"/>
      <c r="K55" s="49"/>
      <c r="L55" s="49"/>
      <c r="M55" s="49"/>
      <c r="N55" s="49"/>
      <c r="O55" s="50"/>
    </row>
    <row r="56" spans="2:15">
      <c r="B56" s="49"/>
      <c r="C56" s="49"/>
      <c r="D56" s="49"/>
      <c r="E56" s="49"/>
      <c r="F56" s="49"/>
      <c r="G56" s="49"/>
      <c r="H56" s="49"/>
      <c r="I56" s="49"/>
      <c r="J56" s="49"/>
      <c r="K56" s="49"/>
      <c r="L56" s="49"/>
      <c r="M56" s="49"/>
      <c r="N56" s="49"/>
      <c r="O56" s="50"/>
    </row>
    <row r="57" spans="2:15">
      <c r="B57" s="49"/>
      <c r="C57" s="49"/>
      <c r="D57" s="49"/>
      <c r="E57" s="49"/>
      <c r="F57" s="49"/>
      <c r="G57" s="49"/>
      <c r="H57" s="49"/>
      <c r="I57" s="49"/>
      <c r="J57" s="49"/>
      <c r="K57" s="49"/>
      <c r="L57" s="49"/>
      <c r="M57" s="49"/>
      <c r="N57" s="49"/>
      <c r="O57" s="50"/>
    </row>
    <row r="58" spans="2:15">
      <c r="B58" s="49"/>
      <c r="C58" s="49"/>
      <c r="D58" s="49"/>
      <c r="E58" s="49"/>
      <c r="F58" s="49"/>
      <c r="G58" s="49"/>
      <c r="H58" s="49"/>
      <c r="I58" s="49"/>
      <c r="J58" s="49"/>
      <c r="K58" s="49"/>
      <c r="L58" s="49"/>
      <c r="M58" s="49"/>
      <c r="N58" s="49"/>
      <c r="O58" s="50"/>
    </row>
    <row r="59" spans="2:15">
      <c r="B59" s="49"/>
      <c r="C59" s="49"/>
      <c r="D59" s="49"/>
      <c r="E59" s="49"/>
      <c r="F59" s="49"/>
      <c r="G59" s="49"/>
      <c r="H59" s="49"/>
      <c r="I59" s="49"/>
      <c r="J59" s="49"/>
      <c r="K59" s="49"/>
      <c r="L59" s="49"/>
      <c r="M59" s="49"/>
      <c r="N59" s="49"/>
      <c r="O59" s="50"/>
    </row>
    <row r="60" spans="2:15">
      <c r="B60" s="49"/>
      <c r="C60" s="49"/>
      <c r="D60" s="49"/>
      <c r="E60" s="49"/>
      <c r="F60" s="49"/>
      <c r="G60" s="49"/>
      <c r="H60" s="49"/>
      <c r="I60" s="49"/>
      <c r="J60" s="49"/>
      <c r="K60" s="49"/>
      <c r="L60" s="49"/>
      <c r="M60" s="49"/>
      <c r="N60" s="49"/>
      <c r="O60" s="50"/>
    </row>
    <row r="61" spans="2:15">
      <c r="B61" s="49"/>
      <c r="C61" s="49"/>
      <c r="D61" s="49"/>
      <c r="E61" s="49"/>
      <c r="F61" s="49"/>
      <c r="G61" s="49"/>
      <c r="H61" s="49"/>
      <c r="I61" s="49"/>
      <c r="J61" s="49"/>
      <c r="K61" s="49"/>
      <c r="L61" s="49"/>
      <c r="M61" s="49"/>
      <c r="N61" s="49"/>
      <c r="O61" s="50"/>
    </row>
    <row r="62" spans="2:15">
      <c r="B62" s="49"/>
      <c r="C62" s="49"/>
      <c r="D62" s="49"/>
      <c r="E62" s="49"/>
      <c r="F62" s="49"/>
      <c r="G62" s="49"/>
      <c r="H62" s="49"/>
      <c r="I62" s="49"/>
      <c r="J62" s="49"/>
      <c r="K62" s="49"/>
      <c r="L62" s="49"/>
      <c r="M62" s="49"/>
      <c r="N62" s="49"/>
      <c r="O62" s="50"/>
    </row>
    <row r="63" spans="2:15">
      <c r="B63" s="49"/>
      <c r="C63" s="49"/>
      <c r="D63" s="49"/>
      <c r="E63" s="49"/>
      <c r="F63" s="49"/>
      <c r="G63" s="49"/>
      <c r="H63" s="49"/>
      <c r="I63" s="49"/>
      <c r="J63" s="49"/>
      <c r="K63" s="49"/>
      <c r="L63" s="49"/>
      <c r="M63" s="49"/>
      <c r="N63" s="49"/>
      <c r="O63" s="50"/>
    </row>
    <row r="64" spans="2:15">
      <c r="B64" s="49"/>
      <c r="C64" s="49"/>
      <c r="D64" s="49"/>
      <c r="E64" s="49"/>
      <c r="F64" s="49"/>
      <c r="G64" s="49"/>
      <c r="H64" s="49"/>
      <c r="I64" s="49"/>
      <c r="J64" s="49"/>
      <c r="K64" s="49"/>
      <c r="L64" s="49"/>
      <c r="M64" s="49"/>
      <c r="N64" s="49"/>
      <c r="O64" s="50"/>
    </row>
    <row r="65" spans="2:15">
      <c r="B65" s="49"/>
      <c r="C65" s="49"/>
      <c r="D65" s="49"/>
      <c r="E65" s="49"/>
      <c r="F65" s="49"/>
      <c r="G65" s="49"/>
      <c r="H65" s="49"/>
      <c r="I65" s="49"/>
      <c r="J65" s="49"/>
      <c r="K65" s="49"/>
      <c r="L65" s="49"/>
      <c r="M65" s="55" t="s">
        <v>1506</v>
      </c>
      <c r="N65" s="49"/>
      <c r="O65" s="50"/>
    </row>
    <row r="66" spans="2:15">
      <c r="B66" s="49"/>
      <c r="C66" s="49"/>
      <c r="D66" s="49"/>
      <c r="E66" s="49"/>
      <c r="F66" s="49"/>
      <c r="G66" s="49"/>
      <c r="H66" s="49"/>
      <c r="I66" s="49"/>
      <c r="J66" s="49"/>
      <c r="K66" s="49"/>
      <c r="L66" s="49"/>
      <c r="M66" s="49"/>
      <c r="N66" s="49"/>
      <c r="O66" s="50"/>
    </row>
    <row r="67" spans="2:15" ht="13">
      <c r="B67" s="49"/>
      <c r="C67" s="1612" t="str">
        <f>C7</f>
        <v>What are some of the challenges in designing this model?</v>
      </c>
      <c r="D67" s="1612"/>
      <c r="E67" s="1612"/>
      <c r="F67" s="1612"/>
      <c r="G67" s="1612"/>
      <c r="H67" s="1612"/>
      <c r="I67" s="1612"/>
      <c r="J67" s="1612"/>
      <c r="K67" s="1612"/>
      <c r="L67" s="1612"/>
      <c r="M67" s="1612"/>
      <c r="N67" s="1612"/>
      <c r="O67" s="50"/>
    </row>
    <row r="68" spans="2:15">
      <c r="B68" s="49"/>
      <c r="C68" s="49"/>
      <c r="D68" s="49"/>
      <c r="E68" s="49"/>
      <c r="F68" s="49"/>
      <c r="G68" s="49"/>
      <c r="H68" s="49"/>
      <c r="I68" s="49"/>
      <c r="J68" s="49"/>
      <c r="K68" s="49"/>
      <c r="L68" s="49"/>
      <c r="M68" s="49"/>
      <c r="N68" s="49"/>
      <c r="O68" s="50"/>
    </row>
    <row r="69" spans="2:15">
      <c r="B69" s="49"/>
      <c r="C69" s="49" t="s">
        <v>54</v>
      </c>
      <c r="D69" s="49"/>
      <c r="E69" s="49"/>
      <c r="F69" s="49"/>
      <c r="G69" s="49"/>
      <c r="H69" s="49"/>
      <c r="I69" s="49"/>
      <c r="J69" s="49"/>
      <c r="K69" s="49"/>
      <c r="L69" s="49"/>
      <c r="M69" s="49"/>
      <c r="N69" s="49"/>
      <c r="O69" s="50"/>
    </row>
    <row r="70" spans="2:15">
      <c r="B70" s="49"/>
      <c r="C70" s="49"/>
      <c r="D70" s="49"/>
      <c r="E70" s="49"/>
      <c r="F70" s="49"/>
      <c r="G70" s="49"/>
      <c r="H70" s="49"/>
      <c r="I70" s="49"/>
      <c r="J70" s="49"/>
      <c r="K70" s="49"/>
      <c r="L70" s="49"/>
      <c r="M70" s="49"/>
      <c r="N70" s="49"/>
      <c r="O70" s="50"/>
    </row>
    <row r="71" spans="2:15" ht="13">
      <c r="B71" s="49"/>
      <c r="C71" s="49"/>
      <c r="D71" s="56" t="s">
        <v>55</v>
      </c>
      <c r="E71" s="49"/>
      <c r="F71" s="49"/>
      <c r="G71" s="49"/>
      <c r="H71" s="49"/>
      <c r="I71" s="49"/>
      <c r="J71" s="49"/>
      <c r="K71" s="49"/>
      <c r="L71" s="49"/>
      <c r="M71" s="49"/>
      <c r="N71" s="49"/>
      <c r="O71" s="50"/>
    </row>
    <row r="72" spans="2:15" ht="13">
      <c r="B72" s="49"/>
      <c r="C72" s="49"/>
      <c r="D72" s="56"/>
      <c r="E72" s="49"/>
      <c r="F72" s="49"/>
      <c r="G72" s="49"/>
      <c r="H72" s="49"/>
      <c r="I72" s="49"/>
      <c r="J72" s="49"/>
      <c r="K72" s="49"/>
      <c r="L72" s="49"/>
      <c r="M72" s="49"/>
      <c r="N72" s="49"/>
      <c r="O72" s="50"/>
    </row>
    <row r="73" spans="2:15">
      <c r="B73" s="49"/>
      <c r="C73" s="57"/>
      <c r="D73" s="1614" t="s">
        <v>56</v>
      </c>
      <c r="E73" s="1614"/>
      <c r="F73" s="1614"/>
      <c r="G73" s="1614"/>
      <c r="H73" s="1614"/>
      <c r="I73" s="1614"/>
      <c r="J73" s="1614"/>
      <c r="K73" s="1614"/>
      <c r="L73" s="1614"/>
      <c r="M73" s="1614"/>
      <c r="N73" s="1614"/>
      <c r="O73" s="50"/>
    </row>
    <row r="74" spans="2:15">
      <c r="B74" s="49"/>
      <c r="C74" s="57"/>
      <c r="D74" s="1614"/>
      <c r="E74" s="1614"/>
      <c r="F74" s="1614"/>
      <c r="G74" s="1614"/>
      <c r="H74" s="1614"/>
      <c r="I74" s="1614"/>
      <c r="J74" s="1614"/>
      <c r="K74" s="1614"/>
      <c r="L74" s="1614"/>
      <c r="M74" s="1614"/>
      <c r="N74" s="1614"/>
      <c r="O74" s="50"/>
    </row>
    <row r="75" spans="2:15">
      <c r="B75" s="49"/>
      <c r="C75" s="57"/>
      <c r="D75" s="1614"/>
      <c r="E75" s="1614"/>
      <c r="F75" s="1614"/>
      <c r="G75" s="1614"/>
      <c r="H75" s="1614"/>
      <c r="I75" s="1614"/>
      <c r="J75" s="1614"/>
      <c r="K75" s="1614"/>
      <c r="L75" s="1614"/>
      <c r="M75" s="1614"/>
      <c r="N75" s="1614"/>
      <c r="O75" s="50"/>
    </row>
    <row r="76" spans="2:15">
      <c r="B76" s="49"/>
      <c r="C76" s="57"/>
      <c r="D76" s="1614"/>
      <c r="E76" s="1614"/>
      <c r="F76" s="1614"/>
      <c r="G76" s="1614"/>
      <c r="H76" s="1614"/>
      <c r="I76" s="1614"/>
      <c r="J76" s="1614"/>
      <c r="K76" s="1614"/>
      <c r="L76" s="1614"/>
      <c r="M76" s="1614"/>
      <c r="N76" s="1614"/>
      <c r="O76" s="50"/>
    </row>
    <row r="77" spans="2:15">
      <c r="B77" s="49"/>
      <c r="C77" s="57"/>
      <c r="D77" s="1614"/>
      <c r="E77" s="1614"/>
      <c r="F77" s="1614"/>
      <c r="G77" s="1614"/>
      <c r="H77" s="1614"/>
      <c r="I77" s="1614"/>
      <c r="J77" s="1614"/>
      <c r="K77" s="1614"/>
      <c r="L77" s="1614"/>
      <c r="M77" s="1614"/>
      <c r="N77" s="1614"/>
      <c r="O77" s="50"/>
    </row>
    <row r="78" spans="2:15">
      <c r="B78" s="49"/>
      <c r="C78" s="57"/>
      <c r="D78" s="1614"/>
      <c r="E78" s="1614"/>
      <c r="F78" s="1614"/>
      <c r="G78" s="1614"/>
      <c r="H78" s="1614"/>
      <c r="I78" s="1614"/>
      <c r="J78" s="1614"/>
      <c r="K78" s="1614"/>
      <c r="L78" s="1614"/>
      <c r="M78" s="1614"/>
      <c r="N78" s="1614"/>
      <c r="O78" s="50"/>
    </row>
    <row r="79" spans="2:15">
      <c r="B79" s="49"/>
      <c r="C79" s="57"/>
      <c r="D79" s="1614"/>
      <c r="E79" s="1614"/>
      <c r="F79" s="1614"/>
      <c r="G79" s="1614"/>
      <c r="H79" s="1614"/>
      <c r="I79" s="1614"/>
      <c r="J79" s="1614"/>
      <c r="K79" s="1614"/>
      <c r="L79" s="1614"/>
      <c r="M79" s="1614"/>
      <c r="N79" s="1614"/>
      <c r="O79" s="50"/>
    </row>
    <row r="80" spans="2:15">
      <c r="B80" s="49"/>
      <c r="C80" s="57"/>
      <c r="D80" s="53"/>
      <c r="E80" s="53"/>
      <c r="F80" s="53"/>
      <c r="G80" s="53"/>
      <c r="H80" s="53"/>
      <c r="I80" s="53"/>
      <c r="J80" s="53"/>
      <c r="K80" s="53"/>
      <c r="L80" s="53"/>
      <c r="M80" s="53"/>
      <c r="N80" s="53"/>
      <c r="O80" s="50"/>
    </row>
    <row r="81" spans="2:15" ht="13">
      <c r="B81" s="49"/>
      <c r="C81" s="57"/>
      <c r="D81" s="56" t="s">
        <v>57</v>
      </c>
      <c r="E81" s="57"/>
      <c r="F81" s="57"/>
      <c r="G81" s="57"/>
      <c r="H81" s="57"/>
      <c r="I81" s="57"/>
      <c r="J81" s="57"/>
      <c r="K81" s="57"/>
      <c r="L81" s="57"/>
      <c r="M81" s="57"/>
      <c r="N81" s="57"/>
      <c r="O81" s="50"/>
    </row>
    <row r="82" spans="2:15">
      <c r="B82" s="49"/>
      <c r="C82" s="49"/>
      <c r="D82" s="49"/>
      <c r="E82" s="49"/>
      <c r="F82" s="49"/>
      <c r="G82" s="49"/>
      <c r="H82" s="49"/>
      <c r="I82" s="49"/>
      <c r="J82" s="49"/>
      <c r="K82" s="49"/>
      <c r="L82" s="49"/>
      <c r="M82" s="49"/>
      <c r="N82" s="49"/>
      <c r="O82" s="50"/>
    </row>
    <row r="83" spans="2:15">
      <c r="B83" s="49"/>
      <c r="C83" s="49"/>
      <c r="D83" s="1614" t="s">
        <v>1423</v>
      </c>
      <c r="E83" s="1614"/>
      <c r="F83" s="1614"/>
      <c r="G83" s="1614"/>
      <c r="H83" s="1614"/>
      <c r="I83" s="1614"/>
      <c r="J83" s="1614"/>
      <c r="K83" s="1614"/>
      <c r="L83" s="1614"/>
      <c r="M83" s="1614"/>
      <c r="N83" s="1614"/>
      <c r="O83" s="50"/>
    </row>
    <row r="84" spans="2:15">
      <c r="B84" s="49"/>
      <c r="C84" s="49"/>
      <c r="D84" s="1614"/>
      <c r="E84" s="1614"/>
      <c r="F84" s="1614"/>
      <c r="G84" s="1614"/>
      <c r="H84" s="1614"/>
      <c r="I84" s="1614"/>
      <c r="J84" s="1614"/>
      <c r="K84" s="1614"/>
      <c r="L84" s="1614"/>
      <c r="M84" s="1614"/>
      <c r="N84" s="1614"/>
      <c r="O84" s="50"/>
    </row>
    <row r="85" spans="2:15">
      <c r="B85" s="49"/>
      <c r="C85" s="49"/>
      <c r="D85" s="1614"/>
      <c r="E85" s="1614"/>
      <c r="F85" s="1614"/>
      <c r="G85" s="1614"/>
      <c r="H85" s="1614"/>
      <c r="I85" s="1614"/>
      <c r="J85" s="1614"/>
      <c r="K85" s="1614"/>
      <c r="L85" s="1614"/>
      <c r="M85" s="1614"/>
      <c r="N85" s="1614"/>
      <c r="O85" s="50"/>
    </row>
    <row r="86" spans="2:15">
      <c r="B86" s="49"/>
      <c r="C86" s="49"/>
      <c r="D86" s="49"/>
      <c r="E86" s="49"/>
      <c r="F86" s="49"/>
      <c r="G86" s="49"/>
      <c r="H86" s="49"/>
      <c r="I86" s="49"/>
      <c r="J86" s="49"/>
      <c r="K86" s="49"/>
      <c r="L86" s="49"/>
      <c r="M86" s="49"/>
      <c r="N86" s="49"/>
      <c r="O86" s="50"/>
    </row>
    <row r="87" spans="2:15" ht="13">
      <c r="B87" s="49"/>
      <c r="C87" s="49"/>
      <c r="D87" s="56" t="s">
        <v>1424</v>
      </c>
      <c r="E87" s="49"/>
      <c r="F87" s="49"/>
      <c r="G87" s="49"/>
      <c r="H87" s="49"/>
      <c r="I87" s="49"/>
      <c r="J87" s="49"/>
      <c r="K87" s="49"/>
      <c r="L87" s="49"/>
      <c r="M87" s="49"/>
      <c r="N87" s="49"/>
      <c r="O87" s="50"/>
    </row>
    <row r="88" spans="2:15">
      <c r="B88" s="49"/>
      <c r="C88" s="49"/>
      <c r="D88" s="49"/>
      <c r="E88" s="49"/>
      <c r="F88" s="49"/>
      <c r="G88" s="49"/>
      <c r="H88" s="49"/>
      <c r="I88" s="49"/>
      <c r="J88" s="49"/>
      <c r="K88" s="49"/>
      <c r="L88" s="49"/>
      <c r="M88" s="49"/>
      <c r="N88" s="49"/>
      <c r="O88" s="50"/>
    </row>
    <row r="89" spans="2:15">
      <c r="B89" s="49"/>
      <c r="C89" s="49"/>
      <c r="D89" s="49" t="s">
        <v>1425</v>
      </c>
      <c r="E89" s="49"/>
      <c r="F89" s="49"/>
      <c r="G89" s="49"/>
      <c r="H89" s="49"/>
      <c r="I89" s="49"/>
      <c r="J89" s="49"/>
      <c r="K89" s="49"/>
      <c r="L89" s="49"/>
      <c r="M89" s="55" t="s">
        <v>1506</v>
      </c>
      <c r="N89" s="49"/>
      <c r="O89" s="50"/>
    </row>
    <row r="90" spans="2:15">
      <c r="B90" s="49"/>
      <c r="C90" s="49"/>
      <c r="D90" s="49"/>
      <c r="E90" s="49"/>
      <c r="F90" s="49"/>
      <c r="G90" s="49"/>
      <c r="H90" s="49"/>
      <c r="I90" s="49"/>
      <c r="J90" s="49"/>
      <c r="K90" s="49"/>
      <c r="L90" s="49"/>
      <c r="M90" s="49"/>
      <c r="N90" s="49"/>
      <c r="O90" s="50"/>
    </row>
    <row r="91" spans="2:15" ht="13">
      <c r="B91" s="49"/>
      <c r="C91" s="1612" t="str">
        <f>C8</f>
        <v>What spreadsheet functions and features are used in this model?</v>
      </c>
      <c r="D91" s="1612"/>
      <c r="E91" s="1612"/>
      <c r="F91" s="1612"/>
      <c r="G91" s="1612"/>
      <c r="H91" s="1612"/>
      <c r="I91" s="1612"/>
      <c r="J91" s="1612"/>
      <c r="K91" s="1612"/>
      <c r="L91" s="1612"/>
      <c r="M91" s="1612"/>
      <c r="N91" s="1612"/>
      <c r="O91" s="50"/>
    </row>
    <row r="92" spans="2:15">
      <c r="B92" s="49"/>
      <c r="C92" s="49"/>
      <c r="D92" s="49"/>
      <c r="E92" s="49"/>
      <c r="F92" s="49"/>
      <c r="G92" s="49"/>
      <c r="H92" s="49"/>
      <c r="I92" s="49"/>
      <c r="J92" s="49"/>
      <c r="K92" s="49"/>
      <c r="L92" s="49"/>
      <c r="M92" s="49"/>
      <c r="N92" s="49"/>
      <c r="O92" s="50"/>
    </row>
    <row r="93" spans="2:15">
      <c r="B93" s="49"/>
      <c r="C93" s="49" t="s">
        <v>1426</v>
      </c>
      <c r="D93" s="49"/>
      <c r="E93" s="49"/>
      <c r="F93" s="49"/>
      <c r="G93" s="49"/>
      <c r="H93" s="49"/>
      <c r="I93" s="49"/>
      <c r="J93" s="49"/>
      <c r="K93" s="49"/>
      <c r="L93" s="49"/>
      <c r="M93" s="49"/>
      <c r="N93" s="49"/>
      <c r="O93" s="50"/>
    </row>
    <row r="94" spans="2:15">
      <c r="B94" s="49"/>
      <c r="C94" s="49"/>
      <c r="D94" s="49"/>
      <c r="E94" s="49"/>
      <c r="F94" s="49"/>
      <c r="G94" s="49"/>
      <c r="H94" s="49"/>
      <c r="I94" s="49"/>
      <c r="J94" s="49"/>
      <c r="K94" s="49"/>
      <c r="L94" s="49"/>
      <c r="M94" s="49"/>
      <c r="N94" s="49"/>
      <c r="O94" s="50"/>
    </row>
    <row r="95" spans="2:15" ht="13">
      <c r="B95" s="49"/>
      <c r="C95" s="56" t="s">
        <v>1427</v>
      </c>
      <c r="D95" s="49"/>
      <c r="E95" s="49"/>
      <c r="F95" s="49"/>
      <c r="G95" s="49"/>
      <c r="H95" s="56" t="s">
        <v>1428</v>
      </c>
      <c r="I95" s="49"/>
      <c r="J95" s="49"/>
      <c r="K95" s="49"/>
      <c r="L95" s="49"/>
      <c r="M95" s="49"/>
      <c r="N95" s="49"/>
      <c r="O95" s="50"/>
    </row>
    <row r="96" spans="2:15">
      <c r="B96" s="49"/>
      <c r="C96" s="49"/>
      <c r="D96" s="49" t="s">
        <v>1429</v>
      </c>
      <c r="E96" s="49"/>
      <c r="F96" s="49"/>
      <c r="G96" s="49"/>
      <c r="H96" s="49"/>
      <c r="I96" s="49" t="s">
        <v>1566</v>
      </c>
      <c r="J96" s="49"/>
      <c r="K96" s="49"/>
      <c r="L96" s="49"/>
      <c r="M96" s="49"/>
      <c r="N96" s="49"/>
      <c r="O96" s="50"/>
    </row>
    <row r="97" spans="2:15">
      <c r="B97" s="49"/>
      <c r="C97" s="49"/>
      <c r="D97" s="49"/>
      <c r="E97" s="49"/>
      <c r="F97" s="49"/>
      <c r="G97" s="49"/>
      <c r="H97" s="49"/>
      <c r="I97" s="49"/>
      <c r="J97" s="49"/>
      <c r="K97" s="49"/>
      <c r="L97" s="49"/>
      <c r="M97" s="49"/>
      <c r="N97" s="49"/>
      <c r="O97" s="50"/>
    </row>
    <row r="98" spans="2:15" ht="13">
      <c r="B98" s="49"/>
      <c r="C98" s="56" t="s">
        <v>1430</v>
      </c>
      <c r="D98" s="49"/>
      <c r="E98" s="49"/>
      <c r="F98" s="49"/>
      <c r="G98" s="49"/>
      <c r="H98" s="56" t="s">
        <v>1431</v>
      </c>
      <c r="I98" s="49"/>
      <c r="J98" s="49"/>
      <c r="K98" s="49"/>
      <c r="L98" s="49"/>
      <c r="M98" s="49"/>
      <c r="N98" s="49"/>
      <c r="O98" s="50"/>
    </row>
    <row r="99" spans="2:15">
      <c r="B99" s="49"/>
      <c r="C99" s="49"/>
      <c r="D99" s="58" t="s">
        <v>1432</v>
      </c>
      <c r="E99" s="58"/>
      <c r="F99" s="49"/>
      <c r="G99" s="49"/>
      <c r="H99" s="49"/>
      <c r="I99" s="49" t="s">
        <v>1433</v>
      </c>
      <c r="J99" s="49"/>
      <c r="K99" s="49"/>
      <c r="L99" s="49"/>
      <c r="M99" s="49"/>
      <c r="N99" s="49"/>
      <c r="O99" s="50"/>
    </row>
    <row r="100" spans="2:15">
      <c r="B100" s="49"/>
      <c r="C100" s="49"/>
      <c r="D100" s="49"/>
      <c r="E100" s="49"/>
      <c r="F100" s="49"/>
      <c r="G100" s="49"/>
      <c r="H100" s="49"/>
      <c r="I100" s="49" t="s">
        <v>1069</v>
      </c>
      <c r="J100" s="49"/>
      <c r="K100" s="49"/>
      <c r="L100" s="49"/>
      <c r="M100" s="49"/>
      <c r="N100" s="49"/>
      <c r="O100" s="50"/>
    </row>
    <row r="101" spans="2:15" ht="13">
      <c r="B101" s="49"/>
      <c r="C101" s="56" t="s">
        <v>1070</v>
      </c>
      <c r="D101" s="49"/>
      <c r="E101" s="49"/>
      <c r="F101" s="49"/>
      <c r="G101" s="49"/>
      <c r="H101" s="49"/>
      <c r="I101" s="49" t="s">
        <v>1071</v>
      </c>
      <c r="J101" s="49"/>
      <c r="K101" s="49"/>
      <c r="L101" s="49"/>
      <c r="M101" s="49"/>
      <c r="N101" s="49"/>
      <c r="O101" s="50"/>
    </row>
    <row r="102" spans="2:15">
      <c r="B102" s="49"/>
      <c r="C102" s="49"/>
      <c r="D102" s="49" t="s">
        <v>1072</v>
      </c>
      <c r="E102" s="49"/>
      <c r="F102" s="49"/>
      <c r="G102" s="49"/>
      <c r="I102" s="49" t="s">
        <v>1073</v>
      </c>
      <c r="L102" s="49"/>
      <c r="M102" s="49"/>
      <c r="N102" s="49"/>
      <c r="O102" s="50"/>
    </row>
    <row r="103" spans="2:15">
      <c r="B103" s="49"/>
      <c r="C103" s="49"/>
      <c r="D103" s="49"/>
      <c r="E103" s="49"/>
      <c r="F103" s="49"/>
      <c r="G103" s="49"/>
      <c r="L103" s="49"/>
      <c r="M103" s="49"/>
      <c r="N103" s="49"/>
      <c r="O103" s="50"/>
    </row>
    <row r="104" spans="2:15" ht="13">
      <c r="B104" s="49"/>
      <c r="C104" s="56" t="s">
        <v>1074</v>
      </c>
      <c r="D104" s="49"/>
      <c r="E104" s="49"/>
      <c r="F104" s="49"/>
      <c r="G104" s="49"/>
      <c r="H104" s="59" t="s">
        <v>1075</v>
      </c>
      <c r="L104" s="49"/>
      <c r="N104" s="49"/>
      <c r="O104" s="50"/>
    </row>
    <row r="105" spans="2:15">
      <c r="B105" s="49"/>
      <c r="C105" s="49"/>
      <c r="D105" s="49" t="s">
        <v>1565</v>
      </c>
      <c r="E105" s="49"/>
      <c r="F105" s="49"/>
      <c r="G105" s="49"/>
      <c r="I105" s="3" t="s">
        <v>1076</v>
      </c>
      <c r="J105" s="49"/>
      <c r="K105" s="49"/>
      <c r="L105" s="49"/>
      <c r="N105" s="49"/>
      <c r="O105" s="50"/>
    </row>
    <row r="106" spans="2:15">
      <c r="B106" s="49"/>
      <c r="C106" s="49"/>
      <c r="D106" s="49"/>
      <c r="E106" s="49"/>
      <c r="F106" s="49"/>
      <c r="G106" s="49"/>
      <c r="H106" s="49"/>
      <c r="I106" s="49" t="s">
        <v>1077</v>
      </c>
      <c r="J106" s="49"/>
      <c r="K106" s="49"/>
      <c r="L106" s="49"/>
      <c r="M106" s="55" t="s">
        <v>1506</v>
      </c>
      <c r="N106" s="49"/>
      <c r="O106" s="50"/>
    </row>
    <row r="107" spans="2:15">
      <c r="B107" s="49"/>
      <c r="C107" s="49"/>
      <c r="D107" s="49"/>
      <c r="E107" s="49"/>
      <c r="F107" s="49"/>
      <c r="G107" s="49"/>
      <c r="H107" s="49"/>
      <c r="I107" s="49"/>
      <c r="J107" s="49"/>
      <c r="K107" s="49"/>
      <c r="L107" s="49"/>
      <c r="M107" s="49"/>
      <c r="N107" s="49"/>
      <c r="O107" s="50"/>
    </row>
    <row r="108" spans="2:15" ht="13">
      <c r="B108" s="49"/>
      <c r="C108" s="1612" t="str">
        <f>C9</f>
        <v>What skills are needed to make this model?</v>
      </c>
      <c r="D108" s="1612"/>
      <c r="E108" s="1612"/>
      <c r="F108" s="1612"/>
      <c r="G108" s="1612"/>
      <c r="H108" s="1612"/>
      <c r="I108" s="1612"/>
      <c r="J108" s="1612"/>
      <c r="K108" s="1612"/>
      <c r="L108" s="1612"/>
      <c r="M108" s="1612"/>
      <c r="N108" s="1612"/>
      <c r="O108" s="50"/>
    </row>
    <row r="109" spans="2:15">
      <c r="B109" s="49"/>
      <c r="C109" s="49"/>
      <c r="D109" s="49"/>
      <c r="E109" s="49"/>
      <c r="F109" s="49"/>
      <c r="G109" s="49"/>
      <c r="H109" s="49"/>
      <c r="I109" s="49"/>
      <c r="J109" s="49"/>
      <c r="K109" s="49"/>
      <c r="L109" s="49"/>
      <c r="M109" s="49"/>
      <c r="N109" s="49"/>
      <c r="O109" s="50"/>
    </row>
    <row r="110" spans="2:15">
      <c r="B110" s="49"/>
      <c r="C110" s="49" t="s">
        <v>1078</v>
      </c>
      <c r="D110" s="49"/>
      <c r="E110" s="49"/>
      <c r="F110" s="49"/>
      <c r="G110" s="49"/>
      <c r="H110" s="49"/>
      <c r="I110" s="49"/>
      <c r="J110" s="49"/>
      <c r="K110" s="49"/>
      <c r="L110" s="49"/>
      <c r="M110" s="49"/>
      <c r="N110" s="49"/>
      <c r="O110" s="50"/>
    </row>
    <row r="111" spans="2:15">
      <c r="B111" s="49"/>
      <c r="C111" s="49"/>
      <c r="D111" s="49" t="s">
        <v>1079</v>
      </c>
      <c r="E111" s="49"/>
      <c r="F111" s="49"/>
      <c r="G111" s="49"/>
      <c r="H111" s="49"/>
      <c r="I111" s="49"/>
      <c r="J111" s="49"/>
      <c r="K111" s="49"/>
      <c r="L111" s="49"/>
      <c r="M111" s="49"/>
      <c r="N111" s="49"/>
      <c r="O111" s="50"/>
    </row>
    <row r="112" spans="2:15">
      <c r="B112" s="49"/>
      <c r="C112" s="49"/>
      <c r="D112" s="49" t="s">
        <v>1080</v>
      </c>
      <c r="E112" s="49"/>
      <c r="F112" s="49"/>
      <c r="G112" s="49"/>
      <c r="H112" s="49"/>
      <c r="I112" s="49"/>
      <c r="J112" s="49"/>
      <c r="K112" s="49"/>
      <c r="L112" s="49"/>
      <c r="M112" s="49"/>
      <c r="N112" s="49"/>
      <c r="O112" s="50"/>
    </row>
    <row r="113" spans="2:15">
      <c r="B113" s="49"/>
      <c r="C113" s="49"/>
      <c r="D113" s="49" t="s">
        <v>1081</v>
      </c>
      <c r="E113" s="49"/>
      <c r="F113" s="49"/>
      <c r="G113" s="49"/>
      <c r="H113" s="49"/>
      <c r="I113" s="49"/>
      <c r="J113" s="49"/>
      <c r="K113" s="49"/>
      <c r="L113" s="49"/>
      <c r="M113" s="49"/>
      <c r="N113" s="49"/>
      <c r="O113" s="50"/>
    </row>
    <row r="114" spans="2:15">
      <c r="B114" s="49"/>
      <c r="C114" s="49"/>
      <c r="D114" s="49" t="s">
        <v>1082</v>
      </c>
      <c r="E114" s="49"/>
      <c r="F114" s="49"/>
      <c r="G114" s="49"/>
      <c r="H114" s="49"/>
      <c r="I114" s="49"/>
      <c r="J114" s="49"/>
      <c r="K114" s="49"/>
      <c r="L114" s="49"/>
      <c r="M114" s="55" t="s">
        <v>1506</v>
      </c>
      <c r="N114" s="49"/>
      <c r="O114" s="50"/>
    </row>
    <row r="115" spans="2:15">
      <c r="B115" s="49"/>
      <c r="C115" s="49"/>
      <c r="D115" s="49"/>
      <c r="E115" s="49"/>
      <c r="F115" s="49"/>
      <c r="G115" s="49"/>
      <c r="H115" s="49"/>
      <c r="I115" s="49"/>
      <c r="J115" s="49"/>
      <c r="K115" s="49"/>
      <c r="L115" s="49"/>
      <c r="M115" s="49"/>
      <c r="N115" s="49"/>
      <c r="O115" s="50"/>
    </row>
    <row r="116" spans="2:15" ht="13">
      <c r="B116" s="49"/>
      <c r="C116" s="1612" t="str">
        <f>C10</f>
        <v>Where can I learn modelling skills to make models like this?</v>
      </c>
      <c r="D116" s="1612"/>
      <c r="E116" s="1612"/>
      <c r="F116" s="1612"/>
      <c r="G116" s="1612"/>
      <c r="H116" s="1612"/>
      <c r="I116" s="1612"/>
      <c r="J116" s="1612"/>
      <c r="K116" s="1612"/>
      <c r="L116" s="1612"/>
      <c r="M116" s="1612"/>
      <c r="N116" s="1612"/>
      <c r="O116" s="50"/>
    </row>
    <row r="117" spans="2:15">
      <c r="B117" s="49"/>
      <c r="C117" s="49"/>
      <c r="D117" s="49"/>
      <c r="E117" s="49"/>
      <c r="F117" s="49"/>
      <c r="G117" s="49"/>
      <c r="H117" s="49"/>
      <c r="I117" s="49"/>
      <c r="J117" s="49"/>
      <c r="K117" s="49"/>
      <c r="L117" s="49"/>
      <c r="M117" s="49"/>
      <c r="N117" s="49"/>
      <c r="O117" s="50"/>
    </row>
    <row r="118" spans="2:15">
      <c r="B118" s="49"/>
      <c r="C118" s="1614" t="s">
        <v>1083</v>
      </c>
      <c r="D118" s="1614"/>
      <c r="E118" s="1614"/>
      <c r="F118" s="1614"/>
      <c r="G118" s="1614"/>
      <c r="H118" s="1614"/>
      <c r="I118" s="1614"/>
      <c r="J118" s="1614"/>
      <c r="K118" s="1614"/>
      <c r="L118" s="1614"/>
      <c r="M118" s="1614"/>
      <c r="N118" s="1614"/>
      <c r="O118" s="50"/>
    </row>
    <row r="119" spans="2:15">
      <c r="B119" s="49"/>
      <c r="C119" s="1614"/>
      <c r="D119" s="1614"/>
      <c r="E119" s="1614"/>
      <c r="F119" s="1614"/>
      <c r="G119" s="1614"/>
      <c r="H119" s="1614"/>
      <c r="I119" s="1614"/>
      <c r="J119" s="1614"/>
      <c r="K119" s="1614"/>
      <c r="L119" s="1614"/>
      <c r="M119" s="1614"/>
      <c r="N119" s="1614"/>
      <c r="O119" s="50"/>
    </row>
    <row r="120" spans="2:15">
      <c r="B120" s="49"/>
      <c r="C120" s="53"/>
      <c r="D120" s="53"/>
      <c r="E120" s="53"/>
      <c r="F120" s="53"/>
      <c r="G120" s="53"/>
      <c r="H120" s="53"/>
      <c r="I120" s="53"/>
      <c r="J120" s="53"/>
      <c r="K120" s="53"/>
      <c r="L120" s="53"/>
      <c r="M120" s="53"/>
      <c r="N120" s="53"/>
      <c r="O120" s="50"/>
    </row>
    <row r="121" spans="2:15">
      <c r="B121" s="49"/>
      <c r="C121" s="49"/>
      <c r="D121" s="49" t="s">
        <v>1084</v>
      </c>
      <c r="E121" s="1610" t="s">
        <v>1085</v>
      </c>
      <c r="F121" s="1611"/>
      <c r="G121" s="1611"/>
      <c r="H121" s="1611"/>
      <c r="I121" s="1611"/>
      <c r="J121" s="1611"/>
      <c r="K121" s="1611"/>
      <c r="L121" s="1611"/>
      <c r="M121" s="1611"/>
      <c r="N121" s="1611"/>
      <c r="O121" s="50"/>
    </row>
    <row r="122" spans="2:15">
      <c r="B122" s="49"/>
      <c r="C122" s="49"/>
      <c r="D122" s="49" t="s">
        <v>1086</v>
      </c>
      <c r="E122" s="49" t="s">
        <v>1087</v>
      </c>
      <c r="F122" s="49"/>
      <c r="G122" s="49"/>
      <c r="H122" s="49"/>
      <c r="I122" s="49"/>
      <c r="J122" s="49"/>
      <c r="K122" s="49"/>
      <c r="L122" s="49"/>
      <c r="M122" s="55" t="s">
        <v>1506</v>
      </c>
      <c r="N122" s="49"/>
      <c r="O122" s="50"/>
    </row>
    <row r="123" spans="2:15" hidden="1">
      <c r="B123" s="49"/>
      <c r="C123" s="49"/>
      <c r="D123" s="49"/>
      <c r="E123" s="49"/>
      <c r="F123" s="49"/>
      <c r="G123" s="49"/>
      <c r="H123" s="49"/>
      <c r="I123" s="49"/>
      <c r="J123" s="49"/>
      <c r="K123" s="49"/>
      <c r="L123" s="49"/>
      <c r="M123" s="49"/>
      <c r="N123" s="49"/>
      <c r="O123" s="50"/>
    </row>
    <row r="124" spans="2:15" s="49" customFormat="1" hidden="1"/>
  </sheetData>
  <sheetProtection algorithmName="SHA-512" hashValue="/sptByLIIRl1JjvZmmWMKOLBTp/lx640TkBayuOAXmXErav0JnnTJ8FRz/8rjaKwL+DQL3J0k/B6LWOLhyH9Cg==" saltValue="ulAubDu8g1jGdtHTw1GmIA==" spinCount="100000" sheet="1" objects="1" scenarios="1"/>
  <mergeCells count="19">
    <mergeCell ref="C10:N10"/>
    <mergeCell ref="C14:N15"/>
    <mergeCell ref="C12:N12"/>
    <mergeCell ref="C2:N3"/>
    <mergeCell ref="E121:N121"/>
    <mergeCell ref="C116:N116"/>
    <mergeCell ref="C5:N5"/>
    <mergeCell ref="C118:N119"/>
    <mergeCell ref="C7:J7"/>
    <mergeCell ref="C67:N67"/>
    <mergeCell ref="D73:N79"/>
    <mergeCell ref="D83:N85"/>
    <mergeCell ref="C28:N29"/>
    <mergeCell ref="C91:N91"/>
    <mergeCell ref="C108:N108"/>
    <mergeCell ref="C45:N49"/>
    <mergeCell ref="C6:N6"/>
    <mergeCell ref="C8:N8"/>
    <mergeCell ref="C9:N9"/>
  </mergeCells>
  <phoneticPr fontId="2" type="noConversion"/>
  <hyperlinks>
    <hyperlink ref="M65" location="'Q &amp; A'!A1" display="Back to top" xr:uid="{00000000-0004-0000-1500-000000000000}"/>
    <hyperlink ref="C6:N6" location="qa_1" display="What does this model do?" xr:uid="{00000000-0004-0000-1500-000001000000}"/>
    <hyperlink ref="C8:N8" location="qa_2" display="What spreadsheet functions and features are used in this model?" xr:uid="{00000000-0004-0000-1500-000002000000}"/>
    <hyperlink ref="M106" location="'Q &amp; A'!A1" display="Back to top" xr:uid="{00000000-0004-0000-1500-000003000000}"/>
    <hyperlink ref="C9:N9" location="qa_3" display="What modelling skills are needed to make this model?" xr:uid="{00000000-0004-0000-1500-000004000000}"/>
    <hyperlink ref="C7:J7" location="qa_4" display="What are some of the challenges in designing this model?" xr:uid="{00000000-0004-0000-1500-000005000000}"/>
    <hyperlink ref="M89" location="'Q &amp; A'!A1" display="Back to top" xr:uid="{00000000-0004-0000-1500-000006000000}"/>
    <hyperlink ref="M114" location="'Q &amp; A'!A1" display="Back to top" xr:uid="{00000000-0004-0000-1500-000007000000}"/>
    <hyperlink ref="C10:N10" location="qa_5" display="Where can I learn modelling skills to make models like this?" xr:uid="{00000000-0004-0000-1500-000008000000}"/>
    <hyperlink ref="C5:N5" location="scenario_choose" display="Use the model" xr:uid="{00000000-0004-0000-1500-000009000000}"/>
    <hyperlink ref="E121" r:id="rId1" xr:uid="{00000000-0004-0000-1500-00000A000000}"/>
    <hyperlink ref="M122" location="'Q &amp; A'!A1" display="Back to top" xr:uid="{00000000-0004-0000-1500-00000B000000}"/>
  </hyperlinks>
  <pageMargins left="0.75" right="0.75" top="1" bottom="1" header="0.5" footer="0.5"/>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AN35"/>
  <sheetViews>
    <sheetView showGridLines="0" showRowColHeaders="0" topLeftCell="A16" workbookViewId="0">
      <selection activeCell="O33" sqref="O33:Z33"/>
    </sheetView>
  </sheetViews>
  <sheetFormatPr defaultColWidth="0" defaultRowHeight="12.5" zeroHeight="1"/>
  <cols>
    <col min="1" max="2" width="1" style="32" customWidth="1"/>
    <col min="3" max="3" width="5.7265625" style="32" customWidth="1"/>
    <col min="4" max="4" width="6.81640625" style="32" customWidth="1"/>
    <col min="5" max="5" width="13.26953125" style="63" customWidth="1"/>
    <col min="6" max="8" width="0" style="32" hidden="1" customWidth="1"/>
    <col min="9" max="17" width="3" style="32" customWidth="1"/>
    <col min="18" max="38" width="3.1796875" style="32" customWidth="1"/>
    <col min="39" max="39" width="1.81640625" style="32" customWidth="1"/>
    <col min="40" max="40" width="2.1796875" style="33" hidden="1" customWidth="1"/>
    <col min="41" max="16384" width="0" style="32" hidden="1"/>
  </cols>
  <sheetData>
    <row r="1" spans="3:39"/>
    <row r="2" spans="3:39" s="33" customFormat="1">
      <c r="C2" s="103"/>
      <c r="D2" s="103"/>
      <c r="E2" s="104"/>
      <c r="F2" s="103"/>
      <c r="G2" s="103"/>
      <c r="H2" s="103"/>
      <c r="I2" s="103"/>
      <c r="J2" s="103"/>
      <c r="K2" s="103"/>
      <c r="L2" s="103"/>
      <c r="M2" s="103"/>
      <c r="N2" s="103"/>
      <c r="O2" s="1494"/>
      <c r="P2" s="1494"/>
      <c r="Q2" s="1494"/>
      <c r="R2" s="1494"/>
      <c r="S2" s="1494"/>
      <c r="T2" s="1494"/>
      <c r="U2" s="1494"/>
      <c r="V2" s="1494"/>
      <c r="W2" s="1494"/>
      <c r="X2" s="1494"/>
      <c r="Y2" s="1494"/>
      <c r="Z2" s="1494"/>
      <c r="AA2" s="103"/>
      <c r="AB2" s="103"/>
      <c r="AC2" s="103"/>
      <c r="AD2" s="103"/>
      <c r="AE2" s="103"/>
      <c r="AF2" s="103"/>
      <c r="AG2" s="103"/>
      <c r="AH2" s="103"/>
      <c r="AI2" s="103"/>
      <c r="AJ2" s="103"/>
      <c r="AK2" s="103"/>
      <c r="AL2" s="103"/>
    </row>
    <row r="3" spans="3:39" s="33" customFormat="1" ht="16" thickBot="1">
      <c r="C3" s="99" t="s">
        <v>1029</v>
      </c>
      <c r="D3" s="98"/>
      <c r="E3" s="74"/>
    </row>
    <row r="4" spans="3:39" ht="13" thickTop="1">
      <c r="C4" s="33"/>
      <c r="D4" s="33"/>
      <c r="E4" s="74"/>
      <c r="F4" s="33"/>
      <c r="G4" s="33"/>
      <c r="H4" s="33"/>
      <c r="I4" s="33"/>
      <c r="J4" s="33"/>
      <c r="K4" s="33"/>
      <c r="L4" s="33"/>
      <c r="M4" s="33"/>
      <c r="N4" s="33"/>
      <c r="O4" s="33"/>
      <c r="P4" s="33"/>
      <c r="Q4" s="33"/>
      <c r="R4" s="33"/>
      <c r="S4" s="33"/>
      <c r="T4" s="33"/>
      <c r="U4" s="33"/>
      <c r="V4" s="33"/>
      <c r="W4" s="33"/>
      <c r="X4" s="33"/>
      <c r="Y4" s="33"/>
      <c r="Z4" s="33"/>
      <c r="AA4" s="33"/>
      <c r="AB4" s="33"/>
      <c r="AC4" s="1521" t="str">
        <f ca="1">OFFSET(ad_first,OFFSET(ads_top,ROW(ads_scheduling)-1,1),0)</f>
        <v>Feedback from our Financial Modelling course: "Understanding the complex Excel tips was very beneficial"</v>
      </c>
      <c r="AD4" s="1522"/>
      <c r="AE4" s="1522"/>
      <c r="AF4" s="1562"/>
      <c r="AG4" s="1562"/>
      <c r="AH4" s="1562"/>
      <c r="AI4" s="1562"/>
      <c r="AJ4" s="1562"/>
      <c r="AK4" s="1562"/>
      <c r="AL4" s="1563"/>
      <c r="AM4" s="33"/>
    </row>
    <row r="5" spans="3:39">
      <c r="C5" s="1633" t="s">
        <v>284</v>
      </c>
      <c r="D5" s="1634"/>
      <c r="E5" s="1634"/>
      <c r="F5" s="1634"/>
      <c r="G5" s="1634"/>
      <c r="H5" s="1634"/>
      <c r="I5" s="1634"/>
      <c r="J5" s="1634"/>
      <c r="K5" s="1634"/>
      <c r="L5" s="1634"/>
      <c r="M5" s="1634"/>
      <c r="N5" s="1634"/>
      <c r="O5" s="1634"/>
      <c r="P5" s="1634"/>
      <c r="Q5" s="1634"/>
      <c r="R5" s="1634"/>
      <c r="S5" s="1634"/>
      <c r="T5" s="1634"/>
      <c r="U5" s="1634"/>
      <c r="V5" s="1634"/>
      <c r="W5" s="1634"/>
      <c r="X5" s="1634"/>
      <c r="Y5" s="1634"/>
      <c r="Z5" s="1634"/>
      <c r="AA5" s="1634"/>
      <c r="AB5" s="777"/>
      <c r="AC5" s="1524"/>
      <c r="AD5" s="1525"/>
      <c r="AE5" s="1525"/>
      <c r="AF5" s="1564"/>
      <c r="AG5" s="1564"/>
      <c r="AH5" s="1564"/>
      <c r="AI5" s="1564"/>
      <c r="AJ5" s="1564"/>
      <c r="AK5" s="1564"/>
      <c r="AL5" s="1565"/>
      <c r="AM5" s="33"/>
    </row>
    <row r="6" spans="3:39">
      <c r="C6" s="1634"/>
      <c r="D6" s="1634"/>
      <c r="E6" s="1634"/>
      <c r="F6" s="1634"/>
      <c r="G6" s="1634"/>
      <c r="H6" s="1634"/>
      <c r="I6" s="1634"/>
      <c r="J6" s="1634"/>
      <c r="K6" s="1634"/>
      <c r="L6" s="1634"/>
      <c r="M6" s="1634"/>
      <c r="N6" s="1634"/>
      <c r="O6" s="1634"/>
      <c r="P6" s="1634"/>
      <c r="Q6" s="1634"/>
      <c r="R6" s="1634"/>
      <c r="S6" s="1634"/>
      <c r="T6" s="1634"/>
      <c r="U6" s="1634"/>
      <c r="V6" s="1634"/>
      <c r="W6" s="1634"/>
      <c r="X6" s="1634"/>
      <c r="Y6" s="1634"/>
      <c r="Z6" s="1634"/>
      <c r="AA6" s="1634"/>
      <c r="AB6" s="777"/>
      <c r="AC6" s="1524"/>
      <c r="AD6" s="1525"/>
      <c r="AE6" s="1525"/>
      <c r="AF6" s="1564"/>
      <c r="AG6" s="1564"/>
      <c r="AH6" s="1564"/>
      <c r="AI6" s="1564"/>
      <c r="AJ6" s="1564"/>
      <c r="AK6" s="1564"/>
      <c r="AL6" s="1565"/>
      <c r="AM6" s="33"/>
    </row>
    <row r="7" spans="3:39">
      <c r="C7" s="1634"/>
      <c r="D7" s="1634"/>
      <c r="E7" s="1634"/>
      <c r="F7" s="1634"/>
      <c r="G7" s="1634"/>
      <c r="H7" s="1634"/>
      <c r="I7" s="1634"/>
      <c r="J7" s="1634"/>
      <c r="K7" s="1634"/>
      <c r="L7" s="1634"/>
      <c r="M7" s="1634"/>
      <c r="N7" s="1634"/>
      <c r="O7" s="1634"/>
      <c r="P7" s="1634"/>
      <c r="Q7" s="1634"/>
      <c r="R7" s="1634"/>
      <c r="S7" s="1634"/>
      <c r="T7" s="1634"/>
      <c r="U7" s="1634"/>
      <c r="V7" s="1634"/>
      <c r="W7" s="1634"/>
      <c r="X7" s="1634"/>
      <c r="Y7" s="1634"/>
      <c r="Z7" s="1634"/>
      <c r="AA7" s="1634"/>
      <c r="AB7" s="777"/>
      <c r="AC7" s="1524"/>
      <c r="AD7" s="1525"/>
      <c r="AE7" s="1525"/>
      <c r="AF7" s="1564"/>
      <c r="AG7" s="1564"/>
      <c r="AH7" s="1564"/>
      <c r="AI7" s="1564"/>
      <c r="AJ7" s="1564"/>
      <c r="AK7" s="1564"/>
      <c r="AL7" s="1565"/>
      <c r="AM7" s="33"/>
    </row>
    <row r="8" spans="3:39" ht="13" thickBot="1">
      <c r="C8" s="1634"/>
      <c r="D8" s="1634"/>
      <c r="E8" s="1634"/>
      <c r="F8" s="1634"/>
      <c r="G8" s="1634"/>
      <c r="H8" s="1634"/>
      <c r="I8" s="1634"/>
      <c r="J8" s="1634"/>
      <c r="K8" s="1634"/>
      <c r="L8" s="1634"/>
      <c r="M8" s="1634"/>
      <c r="N8" s="1634"/>
      <c r="O8" s="1634"/>
      <c r="P8" s="1634"/>
      <c r="Q8" s="1634"/>
      <c r="R8" s="1634"/>
      <c r="S8" s="1634"/>
      <c r="T8" s="1634"/>
      <c r="U8" s="1634"/>
      <c r="V8" s="1634"/>
      <c r="W8" s="1634"/>
      <c r="X8" s="1634"/>
      <c r="Y8" s="1634"/>
      <c r="Z8" s="1634"/>
      <c r="AA8" s="1634"/>
      <c r="AB8" s="777"/>
      <c r="AC8" s="1527"/>
      <c r="AD8" s="1528"/>
      <c r="AE8" s="1528"/>
      <c r="AF8" s="1566"/>
      <c r="AG8" s="1566"/>
      <c r="AH8" s="1566"/>
      <c r="AI8" s="1566"/>
      <c r="AJ8" s="1566"/>
      <c r="AK8" s="1566"/>
      <c r="AL8" s="1567"/>
      <c r="AM8" s="33"/>
    </row>
    <row r="9" spans="3:39" ht="13" thickTop="1">
      <c r="C9" s="1634"/>
      <c r="D9" s="1634"/>
      <c r="E9" s="1634"/>
      <c r="F9" s="1634"/>
      <c r="G9" s="1634"/>
      <c r="H9" s="1634"/>
      <c r="I9" s="1634"/>
      <c r="J9" s="1634"/>
      <c r="K9" s="1634"/>
      <c r="L9" s="1634"/>
      <c r="M9" s="1634"/>
      <c r="N9" s="1634"/>
      <c r="O9" s="1634"/>
      <c r="P9" s="1634"/>
      <c r="Q9" s="1634"/>
      <c r="R9" s="1634"/>
      <c r="S9" s="1634"/>
      <c r="T9" s="1634"/>
      <c r="U9" s="1634"/>
      <c r="V9" s="1634"/>
      <c r="W9" s="1634"/>
      <c r="X9" s="1634"/>
      <c r="Y9" s="1634"/>
      <c r="Z9" s="1634"/>
      <c r="AA9" s="1634"/>
      <c r="AB9" s="777"/>
      <c r="AC9" s="1323"/>
      <c r="AD9" s="1324"/>
      <c r="AE9" s="1324"/>
      <c r="AF9" s="1321"/>
      <c r="AG9" s="1321"/>
      <c r="AH9" s="1321"/>
      <c r="AI9" s="1321"/>
      <c r="AJ9" s="1321"/>
      <c r="AK9" s="1321"/>
      <c r="AL9" s="1321"/>
      <c r="AM9" s="33"/>
    </row>
    <row r="10" spans="3:39">
      <c r="C10" s="1634"/>
      <c r="D10" s="1634"/>
      <c r="E10" s="1634"/>
      <c r="F10" s="1634"/>
      <c r="G10" s="1634"/>
      <c r="H10" s="1634"/>
      <c r="I10" s="1634"/>
      <c r="J10" s="1634"/>
      <c r="K10" s="1634"/>
      <c r="L10" s="1634"/>
      <c r="M10" s="1634"/>
      <c r="N10" s="1634"/>
      <c r="O10" s="1634"/>
      <c r="P10" s="1634"/>
      <c r="Q10" s="1634"/>
      <c r="R10" s="1634"/>
      <c r="S10" s="1634"/>
      <c r="T10" s="1634"/>
      <c r="U10" s="1634"/>
      <c r="V10" s="1634"/>
      <c r="W10" s="1634"/>
      <c r="X10" s="1634"/>
      <c r="Y10" s="1634"/>
      <c r="Z10" s="1634"/>
      <c r="AA10" s="1634"/>
      <c r="AB10" s="777"/>
      <c r="AC10" s="777"/>
      <c r="AD10" s="75"/>
      <c r="AE10" s="75"/>
      <c r="AF10" s="75"/>
      <c r="AG10" s="75"/>
      <c r="AH10" s="75"/>
      <c r="AI10" s="75"/>
      <c r="AJ10" s="75"/>
      <c r="AK10" s="75"/>
      <c r="AL10" s="75"/>
      <c r="AM10" s="33"/>
    </row>
    <row r="11" spans="3:39">
      <c r="C11" s="1568" t="s">
        <v>459</v>
      </c>
      <c r="D11" s="1518"/>
      <c r="E11" s="1518"/>
      <c r="F11" s="1518"/>
      <c r="G11" s="1518"/>
      <c r="H11" s="1518"/>
      <c r="I11" s="1518"/>
      <c r="J11" s="1518"/>
      <c r="K11" s="1518"/>
      <c r="L11" s="1518"/>
      <c r="M11" s="1518"/>
      <c r="N11" s="1518"/>
      <c r="O11" s="1518"/>
      <c r="P11" s="1518"/>
      <c r="Q11" s="1518"/>
      <c r="R11" s="1518"/>
      <c r="S11" s="1518"/>
      <c r="T11" s="1518"/>
      <c r="U11" s="1518"/>
      <c r="V11" s="1518"/>
      <c r="W11" s="1518"/>
      <c r="X11" s="1518"/>
      <c r="Y11" s="1518"/>
      <c r="Z11" s="1518"/>
      <c r="AA11" s="1518"/>
      <c r="AB11" s="1518"/>
      <c r="AC11" s="1518"/>
      <c r="AD11" s="1518"/>
      <c r="AE11" s="1518"/>
      <c r="AF11" s="1518"/>
      <c r="AG11" s="1518"/>
      <c r="AH11" s="1518"/>
      <c r="AI11" s="1518"/>
      <c r="AJ11" s="1518"/>
      <c r="AK11" s="1518"/>
      <c r="AL11" s="1518"/>
      <c r="AM11" s="33"/>
    </row>
    <row r="12" spans="3:39">
      <c r="C12" s="1518"/>
      <c r="D12" s="1518"/>
      <c r="E12" s="1518"/>
      <c r="F12" s="1518"/>
      <c r="G12" s="1518"/>
      <c r="H12" s="1518"/>
      <c r="I12" s="1518"/>
      <c r="J12" s="1518"/>
      <c r="K12" s="1518"/>
      <c r="L12" s="1518"/>
      <c r="M12" s="1518"/>
      <c r="N12" s="1518"/>
      <c r="O12" s="1518"/>
      <c r="P12" s="1518"/>
      <c r="Q12" s="1518"/>
      <c r="R12" s="1518"/>
      <c r="S12" s="1518"/>
      <c r="T12" s="1518"/>
      <c r="U12" s="1518"/>
      <c r="V12" s="1518"/>
      <c r="W12" s="1518"/>
      <c r="X12" s="1518"/>
      <c r="Y12" s="1518"/>
      <c r="Z12" s="1518"/>
      <c r="AA12" s="1518"/>
      <c r="AB12" s="1518"/>
      <c r="AC12" s="1518"/>
      <c r="AD12" s="1518"/>
      <c r="AE12" s="1518"/>
      <c r="AF12" s="1518"/>
      <c r="AG12" s="1518"/>
      <c r="AH12" s="1518"/>
      <c r="AI12" s="1518"/>
      <c r="AJ12" s="1518"/>
      <c r="AK12" s="1518"/>
      <c r="AL12" s="1518"/>
      <c r="AM12" s="33"/>
    </row>
    <row r="13" spans="3:39">
      <c r="C13" s="33"/>
      <c r="D13" s="33"/>
      <c r="E13" s="74"/>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row>
    <row r="14" spans="3:39" ht="13">
      <c r="C14" s="128" t="str">
        <f>functions_used</f>
        <v>Spreadsheet functions used in this example</v>
      </c>
      <c r="D14" s="80"/>
      <c r="E14" s="129"/>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33"/>
    </row>
    <row r="15" spans="3:39">
      <c r="C15" s="1635" t="str">
        <f>functions_scheduling</f>
        <v>AND, IF, ISNA, LEFT, LEN, MATCH, MAX, MOD, OFFSET, OR, ROW, VLOOKUP</v>
      </c>
      <c r="D15" s="1635"/>
      <c r="E15" s="1635"/>
      <c r="F15" s="1635"/>
      <c r="G15" s="1635"/>
      <c r="H15" s="1635"/>
      <c r="I15" s="1635"/>
      <c r="J15" s="1635"/>
      <c r="K15" s="1635"/>
      <c r="L15" s="1635"/>
      <c r="M15" s="1635"/>
      <c r="N15" s="1635"/>
      <c r="O15" s="1635"/>
      <c r="P15" s="1635"/>
      <c r="Q15" s="1635"/>
      <c r="R15" s="1635"/>
      <c r="S15" s="1635"/>
      <c r="T15" s="1635"/>
      <c r="U15" s="1635"/>
      <c r="V15" s="1635"/>
      <c r="W15" s="1635"/>
      <c r="X15" s="1635"/>
      <c r="Y15" s="1635"/>
      <c r="Z15" s="1635"/>
      <c r="AA15" s="1635"/>
      <c r="AB15" s="1635"/>
      <c r="AC15" s="1635"/>
      <c r="AD15" s="1635"/>
      <c r="AE15" s="1635"/>
      <c r="AF15" s="1635"/>
      <c r="AG15" s="1635"/>
      <c r="AH15" s="1635"/>
      <c r="AI15" s="1635"/>
      <c r="AJ15" s="1635"/>
      <c r="AK15" s="1635"/>
      <c r="AL15" s="1635"/>
      <c r="AM15" s="33"/>
    </row>
    <row r="16" spans="3:39">
      <c r="C16" s="33"/>
      <c r="D16" s="33"/>
      <c r="E16" s="74"/>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row>
    <row r="17" spans="1:39">
      <c r="C17" s="1629" t="s">
        <v>1092</v>
      </c>
      <c r="D17" s="1630"/>
      <c r="E17" s="1630"/>
      <c r="F17" s="1630"/>
      <c r="G17" s="1630"/>
      <c r="H17" s="1630"/>
      <c r="I17" s="1630"/>
      <c r="J17" s="1630"/>
      <c r="K17" s="1630"/>
      <c r="L17" s="1630"/>
      <c r="M17" s="1630"/>
      <c r="N17" s="1630"/>
      <c r="O17" s="1630"/>
      <c r="P17" s="1630"/>
      <c r="Q17" s="1630"/>
      <c r="R17" s="1630"/>
      <c r="S17" s="1630"/>
      <c r="T17" s="1630"/>
      <c r="U17" s="1630"/>
      <c r="V17" s="1630"/>
      <c r="W17" s="1630"/>
      <c r="X17" s="1630"/>
      <c r="Y17" s="1630"/>
      <c r="Z17" s="1630"/>
      <c r="AA17" s="1630"/>
      <c r="AB17" s="1630"/>
      <c r="AC17" s="1630"/>
      <c r="AD17" s="1630"/>
      <c r="AE17" s="1630"/>
      <c r="AF17" s="1630"/>
      <c r="AG17" s="1630"/>
      <c r="AH17" s="1630"/>
      <c r="AI17" s="1630"/>
      <c r="AJ17" s="1630"/>
      <c r="AK17" s="1630"/>
      <c r="AL17" s="1631"/>
      <c r="AM17" s="33"/>
    </row>
    <row r="18" spans="1:39" ht="12.75" customHeight="1">
      <c r="C18" s="1620" t="str">
        <f>IF(H31=0,"No messages","Sorry - can't do this.  You've defined circular prerequisites: " &amp; LEFT(Scheduling_calcs!C15,LEN(Scheduling_calcs!C15)-1)&amp;".")</f>
        <v>No messages</v>
      </c>
      <c r="D18" s="1621"/>
      <c r="E18" s="1621"/>
      <c r="F18" s="1621"/>
      <c r="G18" s="1621"/>
      <c r="H18" s="1621"/>
      <c r="I18" s="1621"/>
      <c r="J18" s="1621"/>
      <c r="K18" s="1621"/>
      <c r="L18" s="1621"/>
      <c r="M18" s="1621"/>
      <c r="N18" s="1621"/>
      <c r="O18" s="1621"/>
      <c r="P18" s="1621"/>
      <c r="Q18" s="1621"/>
      <c r="R18" s="1621"/>
      <c r="S18" s="1621"/>
      <c r="T18" s="1621"/>
      <c r="U18" s="1621"/>
      <c r="V18" s="1621"/>
      <c r="W18" s="1621"/>
      <c r="X18" s="1621"/>
      <c r="Y18" s="1621"/>
      <c r="Z18" s="1621"/>
      <c r="AA18" s="1621"/>
      <c r="AB18" s="1621"/>
      <c r="AC18" s="1621"/>
      <c r="AD18" s="1621"/>
      <c r="AE18" s="1621"/>
      <c r="AF18" s="1621"/>
      <c r="AG18" s="1621"/>
      <c r="AH18" s="1621"/>
      <c r="AI18" s="1621"/>
      <c r="AJ18" s="1621"/>
      <c r="AK18" s="1621"/>
      <c r="AL18" s="1622"/>
      <c r="AM18" s="33"/>
    </row>
    <row r="19" spans="1:39" ht="12.75" customHeight="1">
      <c r="C19" s="1623"/>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4"/>
      <c r="Z19" s="1624"/>
      <c r="AA19" s="1624"/>
      <c r="AB19" s="1624"/>
      <c r="AC19" s="1624"/>
      <c r="AD19" s="1624"/>
      <c r="AE19" s="1624"/>
      <c r="AF19" s="1624"/>
      <c r="AG19" s="1624"/>
      <c r="AH19" s="1624"/>
      <c r="AI19" s="1624"/>
      <c r="AJ19" s="1624"/>
      <c r="AK19" s="1624"/>
      <c r="AL19" s="1625"/>
      <c r="AM19" s="33"/>
    </row>
    <row r="20" spans="1:39" ht="12.75" customHeight="1">
      <c r="C20" s="617"/>
      <c r="D20" s="617"/>
      <c r="E20" s="617"/>
      <c r="F20" s="617"/>
      <c r="G20" s="617"/>
      <c r="H20" s="617"/>
      <c r="I20" s="618"/>
      <c r="J20" s="618"/>
      <c r="K20" s="618"/>
      <c r="L20" s="618"/>
      <c r="M20" s="618"/>
      <c r="N20" s="618"/>
      <c r="O20" s="618"/>
      <c r="P20" s="618"/>
      <c r="Q20" s="618"/>
      <c r="R20" s="618"/>
      <c r="S20" s="618"/>
      <c r="T20" s="618"/>
      <c r="U20" s="618"/>
      <c r="V20" s="618"/>
      <c r="W20" s="618"/>
      <c r="X20" s="618"/>
      <c r="Y20" s="618"/>
      <c r="Z20" s="618"/>
      <c r="AA20" s="618"/>
      <c r="AB20" s="618"/>
      <c r="AC20" s="618"/>
      <c r="AD20" s="618"/>
      <c r="AE20" s="618"/>
      <c r="AF20" s="618"/>
      <c r="AG20" s="618"/>
      <c r="AH20" s="618"/>
      <c r="AI20" s="618"/>
      <c r="AJ20" s="618"/>
      <c r="AK20" s="618"/>
      <c r="AL20" s="618"/>
      <c r="AM20" s="33"/>
    </row>
    <row r="21" spans="1:39" ht="13">
      <c r="C21" s="75"/>
      <c r="D21" s="75"/>
      <c r="E21" s="76"/>
      <c r="F21" s="75"/>
      <c r="G21" s="75"/>
      <c r="H21" s="75"/>
      <c r="I21" s="1626" t="s">
        <v>760</v>
      </c>
      <c r="J21" s="1627"/>
      <c r="K21" s="1627"/>
      <c r="L21" s="1627"/>
      <c r="M21" s="1627"/>
      <c r="N21" s="1627"/>
      <c r="O21" s="1627"/>
      <c r="P21" s="1627"/>
      <c r="Q21" s="1627"/>
      <c r="R21" s="1627"/>
      <c r="S21" s="1627"/>
      <c r="T21" s="1627"/>
      <c r="U21" s="1627"/>
      <c r="V21" s="1627"/>
      <c r="W21" s="1627"/>
      <c r="X21" s="1627"/>
      <c r="Y21" s="1627"/>
      <c r="Z21" s="1627"/>
      <c r="AA21" s="1627"/>
      <c r="AB21" s="1627"/>
      <c r="AC21" s="1627"/>
      <c r="AD21" s="1627"/>
      <c r="AE21" s="1627"/>
      <c r="AF21" s="1627"/>
      <c r="AG21" s="1627"/>
      <c r="AH21" s="1627"/>
      <c r="AI21" s="1627"/>
      <c r="AJ21" s="1627"/>
      <c r="AK21" s="1627"/>
      <c r="AL21" s="1628"/>
      <c r="AM21" s="33"/>
    </row>
    <row r="22" spans="1:39" ht="13">
      <c r="C22" s="77" t="s">
        <v>1472</v>
      </c>
      <c r="D22" s="109" t="s">
        <v>1441</v>
      </c>
      <c r="E22" s="78" t="s">
        <v>1477</v>
      </c>
      <c r="F22" s="64"/>
      <c r="G22" s="64" t="s">
        <v>1480</v>
      </c>
      <c r="H22" s="64" t="s">
        <v>1481</v>
      </c>
      <c r="I22" s="65">
        <v>1</v>
      </c>
      <c r="J22" s="65">
        <f t="shared" ref="J22:AL22" si="0">I22+1</f>
        <v>2</v>
      </c>
      <c r="K22" s="65">
        <f t="shared" si="0"/>
        <v>3</v>
      </c>
      <c r="L22" s="65">
        <f t="shared" si="0"/>
        <v>4</v>
      </c>
      <c r="M22" s="65">
        <f t="shared" si="0"/>
        <v>5</v>
      </c>
      <c r="N22" s="65">
        <f t="shared" si="0"/>
        <v>6</v>
      </c>
      <c r="O22" s="65">
        <f t="shared" si="0"/>
        <v>7</v>
      </c>
      <c r="P22" s="65">
        <f t="shared" si="0"/>
        <v>8</v>
      </c>
      <c r="Q22" s="65">
        <f t="shared" si="0"/>
        <v>9</v>
      </c>
      <c r="R22" s="65">
        <f t="shared" si="0"/>
        <v>10</v>
      </c>
      <c r="S22" s="65">
        <f t="shared" si="0"/>
        <v>11</v>
      </c>
      <c r="T22" s="65">
        <f t="shared" si="0"/>
        <v>12</v>
      </c>
      <c r="U22" s="65">
        <f t="shared" si="0"/>
        <v>13</v>
      </c>
      <c r="V22" s="65">
        <f t="shared" si="0"/>
        <v>14</v>
      </c>
      <c r="W22" s="65">
        <f t="shared" si="0"/>
        <v>15</v>
      </c>
      <c r="X22" s="65">
        <f t="shared" si="0"/>
        <v>16</v>
      </c>
      <c r="Y22" s="65">
        <f t="shared" si="0"/>
        <v>17</v>
      </c>
      <c r="Z22" s="65">
        <f t="shared" si="0"/>
        <v>18</v>
      </c>
      <c r="AA22" s="65">
        <f t="shared" si="0"/>
        <v>19</v>
      </c>
      <c r="AB22" s="65">
        <f t="shared" si="0"/>
        <v>20</v>
      </c>
      <c r="AC22" s="65">
        <f t="shared" si="0"/>
        <v>21</v>
      </c>
      <c r="AD22" s="65">
        <f t="shared" si="0"/>
        <v>22</v>
      </c>
      <c r="AE22" s="65">
        <f t="shared" si="0"/>
        <v>23</v>
      </c>
      <c r="AF22" s="65">
        <f t="shared" si="0"/>
        <v>24</v>
      </c>
      <c r="AG22" s="65">
        <f t="shared" si="0"/>
        <v>25</v>
      </c>
      <c r="AH22" s="65">
        <f t="shared" si="0"/>
        <v>26</v>
      </c>
      <c r="AI22" s="65">
        <f t="shared" si="0"/>
        <v>27</v>
      </c>
      <c r="AJ22" s="65">
        <f t="shared" si="0"/>
        <v>28</v>
      </c>
      <c r="AK22" s="65">
        <f t="shared" si="0"/>
        <v>29</v>
      </c>
      <c r="AL22" s="66">
        <f t="shared" si="0"/>
        <v>30</v>
      </c>
      <c r="AM22" s="33"/>
    </row>
    <row r="23" spans="1:39">
      <c r="C23" s="67" t="s">
        <v>1363</v>
      </c>
      <c r="D23" s="231">
        <v>1</v>
      </c>
      <c r="E23" s="232" t="s">
        <v>1473</v>
      </c>
      <c r="F23" s="68">
        <f t="shared" ref="F23:F29" si="1">IF($H$31&gt;0,0,VLOOKUP(E23,$C$23:$H$29,6,FALSE))</f>
        <v>4</v>
      </c>
      <c r="G23" s="68">
        <f t="shared" ref="G23:G29" si="2">IF($H$31&gt;0,0,IF(ISNA(F23),0,F23)+1)</f>
        <v>5</v>
      </c>
      <c r="H23" s="68">
        <f t="shared" ref="H23:H29" si="3">IF($H$31&gt;0,0,D23+G23-1)</f>
        <v>5</v>
      </c>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9"/>
      <c r="AM23" s="33"/>
    </row>
    <row r="24" spans="1:39">
      <c r="C24" s="67" t="s">
        <v>1364</v>
      </c>
      <c r="D24" s="231">
        <v>4</v>
      </c>
      <c r="E24" s="232" t="s">
        <v>1474</v>
      </c>
      <c r="F24" s="68">
        <f t="shared" si="1"/>
        <v>10</v>
      </c>
      <c r="G24" s="68">
        <f t="shared" si="2"/>
        <v>11</v>
      </c>
      <c r="H24" s="68">
        <f t="shared" si="3"/>
        <v>14</v>
      </c>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9"/>
      <c r="AM24" s="33"/>
    </row>
    <row r="25" spans="1:39">
      <c r="C25" s="67" t="s">
        <v>1473</v>
      </c>
      <c r="D25" s="231">
        <v>4</v>
      </c>
      <c r="E25" s="232" t="s">
        <v>1478</v>
      </c>
      <c r="F25" s="68" t="e">
        <f t="shared" si="1"/>
        <v>#N/A</v>
      </c>
      <c r="G25" s="68">
        <f t="shared" si="2"/>
        <v>1</v>
      </c>
      <c r="H25" s="68">
        <f t="shared" si="3"/>
        <v>4</v>
      </c>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9"/>
      <c r="AM25" s="33"/>
    </row>
    <row r="26" spans="1:39">
      <c r="C26" s="67" t="s">
        <v>1474</v>
      </c>
      <c r="D26" s="231">
        <v>4</v>
      </c>
      <c r="E26" s="232" t="s">
        <v>1475</v>
      </c>
      <c r="F26" s="68">
        <f t="shared" si="1"/>
        <v>6</v>
      </c>
      <c r="G26" s="68">
        <f t="shared" si="2"/>
        <v>7</v>
      </c>
      <c r="H26" s="68">
        <f t="shared" si="3"/>
        <v>10</v>
      </c>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9"/>
      <c r="AM26" s="33"/>
    </row>
    <row r="27" spans="1:39">
      <c r="C27" s="67" t="s">
        <v>1475</v>
      </c>
      <c r="D27" s="231">
        <v>2</v>
      </c>
      <c r="E27" s="232" t="s">
        <v>1476</v>
      </c>
      <c r="F27" s="68">
        <f t="shared" si="1"/>
        <v>4</v>
      </c>
      <c r="G27" s="68">
        <f t="shared" si="2"/>
        <v>5</v>
      </c>
      <c r="H27" s="68">
        <f t="shared" si="3"/>
        <v>6</v>
      </c>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9"/>
      <c r="AM27" s="33"/>
    </row>
    <row r="28" spans="1:39">
      <c r="C28" s="67" t="s">
        <v>1476</v>
      </c>
      <c r="D28" s="231">
        <v>2</v>
      </c>
      <c r="E28" s="232" t="s">
        <v>497</v>
      </c>
      <c r="F28" s="68">
        <f t="shared" si="1"/>
        <v>2</v>
      </c>
      <c r="G28" s="68">
        <f t="shared" si="2"/>
        <v>3</v>
      </c>
      <c r="H28" s="68">
        <f t="shared" si="3"/>
        <v>4</v>
      </c>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9"/>
      <c r="AM28" s="33"/>
    </row>
    <row r="29" spans="1:39">
      <c r="C29" s="70" t="s">
        <v>497</v>
      </c>
      <c r="D29" s="233">
        <v>2</v>
      </c>
      <c r="E29" s="234" t="s">
        <v>1478</v>
      </c>
      <c r="F29" s="71" t="e">
        <f t="shared" si="1"/>
        <v>#N/A</v>
      </c>
      <c r="G29" s="71">
        <f t="shared" si="2"/>
        <v>1</v>
      </c>
      <c r="H29" s="71">
        <f t="shared" si="3"/>
        <v>2</v>
      </c>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2"/>
      <c r="AM29" s="33"/>
    </row>
    <row r="30" spans="1:39">
      <c r="C30" s="33"/>
      <c r="D30" s="33"/>
      <c r="E30" s="74"/>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row>
    <row r="31" spans="1:39">
      <c r="C31" s="1454" t="str">
        <f>back_to_index</f>
        <v>Back to contents</v>
      </c>
      <c r="D31" s="1454"/>
      <c r="E31" s="74"/>
      <c r="F31" s="33"/>
      <c r="G31" s="33"/>
      <c r="H31" s="73">
        <f>MAX(Scheduling_calcs!J2:J8)</f>
        <v>0</v>
      </c>
      <c r="I31" s="73"/>
      <c r="J31" s="73">
        <f>IF(H31&gt;0,MATCH(MAX(Scheduling_calcs!L2:L8),Scheduling_calcs!L2:L8,0),0)</f>
        <v>0</v>
      </c>
      <c r="K31" s="97"/>
      <c r="L31" s="33"/>
      <c r="M31" s="33"/>
      <c r="N31" s="33"/>
      <c r="O31" s="1551" t="str">
        <f>page_prefix &amp; page_Scheduling &amp; page_suffix</f>
        <v>- Page 15 -</v>
      </c>
      <c r="P31" s="1552"/>
      <c r="Q31" s="1552"/>
      <c r="R31" s="1552"/>
      <c r="S31" s="1552"/>
      <c r="T31" s="1552"/>
      <c r="U31" s="1552"/>
      <c r="V31" s="1552"/>
      <c r="W31" s="1552"/>
      <c r="X31" s="1552"/>
      <c r="Y31" s="1552"/>
      <c r="Z31" s="1552"/>
      <c r="AA31" s="33"/>
      <c r="AB31" s="33"/>
      <c r="AC31" s="33"/>
      <c r="AD31" s="33"/>
      <c r="AE31" s="33"/>
      <c r="AG31" s="167"/>
      <c r="AH31" s="167"/>
      <c r="AI31" s="1570" t="str">
        <f>back_to_top</f>
        <v>Back to top</v>
      </c>
      <c r="AJ31" s="1570"/>
      <c r="AK31" s="1632"/>
      <c r="AL31" s="167"/>
      <c r="AM31" s="33"/>
    </row>
    <row r="32" spans="1:39">
      <c r="A32" s="33"/>
      <c r="C32" s="33"/>
      <c r="D32" s="33"/>
      <c r="E32" s="74"/>
      <c r="F32" s="33"/>
      <c r="G32" s="33"/>
      <c r="H32" s="33"/>
      <c r="I32" s="33"/>
      <c r="J32" s="33"/>
      <c r="K32" s="33"/>
      <c r="L32" s="33"/>
      <c r="M32" s="33"/>
      <c r="N32" s="33"/>
      <c r="O32" s="1482" t="str">
        <f>copyright</f>
        <v>Copyright (c) 2009 Tykoh Group Pty Limited</v>
      </c>
      <c r="P32" s="1482"/>
      <c r="Q32" s="1482"/>
      <c r="R32" s="1482"/>
      <c r="S32" s="1482"/>
      <c r="T32" s="1482"/>
      <c r="U32" s="1482"/>
      <c r="V32" s="1482"/>
      <c r="W32" s="1482"/>
      <c r="X32" s="1482"/>
      <c r="Y32" s="1482"/>
      <c r="Z32" s="1482"/>
      <c r="AA32" s="33"/>
      <c r="AB32" s="33"/>
      <c r="AC32" s="33"/>
      <c r="AD32" s="33"/>
      <c r="AE32" s="33"/>
      <c r="AF32" s="33"/>
      <c r="AG32" s="33"/>
      <c r="AH32" s="33"/>
      <c r="AI32" s="33"/>
      <c r="AJ32" s="33"/>
      <c r="AK32" s="33"/>
      <c r="AL32" s="33"/>
      <c r="AM32" s="33"/>
    </row>
    <row r="33" spans="1:39">
      <c r="A33" s="33"/>
      <c r="C33" s="33"/>
      <c r="D33" s="33"/>
      <c r="E33" s="74"/>
      <c r="F33" s="33"/>
      <c r="G33" s="33"/>
      <c r="H33" s="33"/>
      <c r="I33" s="33"/>
      <c r="J33" s="33"/>
      <c r="K33" s="33"/>
      <c r="L33" s="33"/>
      <c r="M33" s="33"/>
      <c r="N33" s="33"/>
      <c r="O33" s="1452" t="str">
        <f>home_address</f>
        <v>www.tykoh.com</v>
      </c>
      <c r="P33" s="1452"/>
      <c r="Q33" s="1452"/>
      <c r="R33" s="1452"/>
      <c r="S33" s="1452"/>
      <c r="T33" s="1452"/>
      <c r="U33" s="1452"/>
      <c r="V33" s="1452"/>
      <c r="W33" s="1452"/>
      <c r="X33" s="1452"/>
      <c r="Y33" s="1452"/>
      <c r="Z33" s="1452"/>
      <c r="AA33" s="33"/>
      <c r="AB33" s="33"/>
      <c r="AC33" s="33"/>
      <c r="AD33" s="33"/>
      <c r="AE33" s="33"/>
      <c r="AF33" s="33"/>
      <c r="AG33" s="33"/>
      <c r="AH33" s="33"/>
      <c r="AI33" s="33"/>
      <c r="AJ33" s="33"/>
      <c r="AK33" s="33"/>
      <c r="AL33" s="33"/>
      <c r="AM33" s="33"/>
    </row>
    <row r="34" spans="1:39">
      <c r="A34" s="33"/>
      <c r="C34" s="33"/>
      <c r="D34" s="33"/>
      <c r="E34" s="74"/>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row>
    <row r="35" spans="1:39" hidden="1">
      <c r="A35" s="33"/>
    </row>
  </sheetData>
  <sheetProtection algorithmName="SHA-512" hashValue="m8v+GyVIe0fgqF+zVBq+Y8sVj9tiavqKgSOPybcjvlLWVtcQWcSnIBbHi6BkJrEu96THkA2Do5AJhzzUf86CfQ==" saltValue="ul74uUXsNm9mPafRT+Bi6A==" spinCount="100000" sheet="1" objects="1" scenarios="1"/>
  <mergeCells count="13">
    <mergeCell ref="O2:Z2"/>
    <mergeCell ref="O32:Z32"/>
    <mergeCell ref="C11:AL12"/>
    <mergeCell ref="C5:AA10"/>
    <mergeCell ref="C15:AL15"/>
    <mergeCell ref="AC4:AL8"/>
    <mergeCell ref="O33:Z33"/>
    <mergeCell ref="C18:AL19"/>
    <mergeCell ref="I21:AL21"/>
    <mergeCell ref="C17:AL17"/>
    <mergeCell ref="O31:Z31"/>
    <mergeCell ref="AI31:AK31"/>
    <mergeCell ref="C31:D31"/>
  </mergeCells>
  <phoneticPr fontId="2" type="noConversion"/>
  <conditionalFormatting sqref="C18:E18">
    <cfRule type="expression" dxfId="58" priority="1" stopIfTrue="1">
      <formula>H31&gt;0</formula>
    </cfRule>
  </conditionalFormatting>
  <conditionalFormatting sqref="F18:AL20 C19:E20">
    <cfRule type="expression" dxfId="57" priority="2" stopIfTrue="1">
      <formula>#REF!&gt;0</formula>
    </cfRule>
  </conditionalFormatting>
  <conditionalFormatting sqref="I23:AL29">
    <cfRule type="expression" dxfId="56" priority="3" stopIfTrue="1">
      <formula>AND($H$31=0,I$22&gt;=$G23,I$22&lt;=$H23)</formula>
    </cfRule>
    <cfRule type="expression" dxfId="55" priority="4" stopIfTrue="1">
      <formula>AND(MOD(ROW(23:23),2)=1,OR(I$22&lt;$G23,I$22&gt;$H23))</formula>
    </cfRule>
  </conditionalFormatting>
  <dataValidations count="8">
    <dataValidation type="list" allowBlank="1" showInputMessage="1" showErrorMessage="1" sqref="D23:D29" xr:uid="{00000000-0002-0000-1600-000000000000}">
      <formula1>"1,2,3,4"</formula1>
    </dataValidation>
    <dataValidation type="list" allowBlank="1" showInputMessage="1" showErrorMessage="1" sqref="E23" xr:uid="{00000000-0002-0000-1600-000001000000}">
      <formula1>"&lt;none&gt;,B,C,D,E,F,G"</formula1>
    </dataValidation>
    <dataValidation type="list" allowBlank="1" showInputMessage="1" showErrorMessage="1" sqref="E24" xr:uid="{00000000-0002-0000-1600-000002000000}">
      <formula1>"&lt;none&gt;,A,C,D,E,F,G"</formula1>
    </dataValidation>
    <dataValidation type="list" allowBlank="1" showInputMessage="1" showErrorMessage="1" sqref="E25" xr:uid="{00000000-0002-0000-1600-000003000000}">
      <formula1>"&lt;none&gt;,A,B,D,E,F,G"</formula1>
    </dataValidation>
    <dataValidation type="list" allowBlank="1" showInputMessage="1" showErrorMessage="1" sqref="E26" xr:uid="{00000000-0002-0000-1600-000004000000}">
      <formula1>"&lt;none&gt;,A,B,C,E,F,G"</formula1>
    </dataValidation>
    <dataValidation type="list" allowBlank="1" showInputMessage="1" showErrorMessage="1" sqref="E27" xr:uid="{00000000-0002-0000-1600-000005000000}">
      <formula1>"&lt;none&gt;,A,B,C,D,F,G"</formula1>
    </dataValidation>
    <dataValidation type="list" allowBlank="1" showInputMessage="1" showErrorMessage="1" sqref="E28" xr:uid="{00000000-0002-0000-1600-000006000000}">
      <formula1>"&lt;none&gt;,A,B,C,D,E,G"</formula1>
    </dataValidation>
    <dataValidation type="list" allowBlank="1" showInputMessage="1" showErrorMessage="1" sqref="E29" xr:uid="{00000000-0002-0000-1600-000007000000}">
      <formula1>"&lt;none&gt;,A,B,C,D,E,F"</formula1>
    </dataValidation>
  </dataValidations>
  <hyperlinks>
    <hyperlink ref="AI31:AJ31" location="hh_scheduling" display="hh_scheduling" xr:uid="{00000000-0004-0000-1600-000000000000}"/>
    <hyperlink ref="C31:D31" location="hh_index" display="hh_index" xr:uid="{00000000-0004-0000-1600-000001000000}"/>
    <hyperlink ref="O33:Z33" r:id="rId1" display="https://www.tykoh.com/" xr:uid="{00000000-0004-0000-1600-000002000000}"/>
  </hyperlinks>
  <pageMargins left="0.75" right="0.75" top="1" bottom="1" header="0.5" footer="0.5"/>
  <pageSetup scale="74" orientation="portrait" r:id="rId2"/>
  <headerFooter alignWithMargins="0"/>
  <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pageSetUpPr fitToPage="1"/>
  </sheetPr>
  <dimension ref="C1:N40"/>
  <sheetViews>
    <sheetView showGridLines="0" showRowColHeaders="0" topLeftCell="A28" workbookViewId="0">
      <selection activeCell="G39" sqref="G39:J39"/>
    </sheetView>
  </sheetViews>
  <sheetFormatPr defaultColWidth="0" defaultRowHeight="12.5" zeroHeight="1"/>
  <cols>
    <col min="1" max="2" width="1" style="32" customWidth="1"/>
    <col min="3" max="3" width="10" style="546" customWidth="1"/>
    <col min="4" max="10" width="10" style="32" customWidth="1"/>
    <col min="11" max="11" width="10.1796875" style="32" customWidth="1"/>
    <col min="12" max="14" width="9.54296875" style="32" customWidth="1"/>
    <col min="15" max="15" width="1.81640625" style="32" customWidth="1"/>
    <col min="16" max="16384" width="0" style="32" hidden="1"/>
  </cols>
  <sheetData>
    <row r="1" spans="3:14"/>
    <row r="2" spans="3:14">
      <c r="C2" s="735"/>
      <c r="D2" s="103"/>
      <c r="E2" s="103"/>
      <c r="F2" s="103"/>
      <c r="G2" s="103"/>
      <c r="H2" s="103"/>
      <c r="I2" s="103"/>
      <c r="J2" s="103"/>
      <c r="K2" s="103"/>
      <c r="L2" s="103"/>
      <c r="M2" s="103"/>
      <c r="N2" s="103"/>
    </row>
    <row r="3" spans="3:14" ht="16" thickBot="1">
      <c r="C3" s="736" t="s">
        <v>8</v>
      </c>
    </row>
    <row r="4" spans="3:14" ht="13" thickTop="1">
      <c r="L4" s="1545" t="str">
        <f ca="1">OFFSET(ad_first,OFFSET(ads_top,ROW(ads_seasonalising)-1,1),0)</f>
        <v>Learn how to choose the best function to solve a problem when several functions are available by attending one of our workshops.</v>
      </c>
      <c r="M4" s="1507"/>
      <c r="N4" s="1508"/>
    </row>
    <row r="5" spans="3:14">
      <c r="C5" s="1641" t="s">
        <v>122</v>
      </c>
      <c r="D5" s="1516"/>
      <c r="E5" s="1516"/>
      <c r="F5" s="1516"/>
      <c r="G5" s="1516"/>
      <c r="H5" s="1516"/>
      <c r="I5" s="1516"/>
      <c r="J5" s="1516"/>
      <c r="K5" s="1516"/>
      <c r="L5" s="1509"/>
      <c r="M5" s="1510"/>
      <c r="N5" s="1511"/>
    </row>
    <row r="6" spans="3:14">
      <c r="C6" s="1516"/>
      <c r="D6" s="1516"/>
      <c r="E6" s="1516"/>
      <c r="F6" s="1516"/>
      <c r="G6" s="1516"/>
      <c r="H6" s="1516"/>
      <c r="I6" s="1516"/>
      <c r="J6" s="1516"/>
      <c r="K6" s="1516"/>
      <c r="L6" s="1509"/>
      <c r="M6" s="1510"/>
      <c r="N6" s="1511"/>
    </row>
    <row r="7" spans="3:14">
      <c r="C7" s="1516"/>
      <c r="D7" s="1516"/>
      <c r="E7" s="1516"/>
      <c r="F7" s="1516"/>
      <c r="G7" s="1516"/>
      <c r="H7" s="1516"/>
      <c r="I7" s="1516"/>
      <c r="J7" s="1516"/>
      <c r="K7" s="1516"/>
      <c r="L7" s="1509"/>
      <c r="M7" s="1510"/>
      <c r="N7" s="1511"/>
    </row>
    <row r="8" spans="3:14" ht="13" thickBot="1">
      <c r="C8" s="1516"/>
      <c r="D8" s="1516"/>
      <c r="E8" s="1516"/>
      <c r="F8" s="1516"/>
      <c r="G8" s="1516"/>
      <c r="H8" s="1516"/>
      <c r="I8" s="1516"/>
      <c r="J8" s="1516"/>
      <c r="K8" s="1516"/>
      <c r="L8" s="1512"/>
      <c r="M8" s="1513"/>
      <c r="N8" s="1514"/>
    </row>
    <row r="9" spans="3:14" s="343" customFormat="1" ht="13" thickTop="1">
      <c r="C9" s="977"/>
      <c r="D9" s="977"/>
      <c r="E9" s="977"/>
      <c r="F9" s="977"/>
      <c r="G9" s="977"/>
      <c r="H9" s="977"/>
      <c r="I9" s="977"/>
      <c r="J9" s="977"/>
      <c r="K9" s="977"/>
      <c r="L9" s="977"/>
      <c r="M9" s="977"/>
      <c r="N9" s="977"/>
    </row>
    <row r="10" spans="3:14" s="343" customFormat="1" ht="13">
      <c r="C10" s="978" t="str">
        <f>functions_used</f>
        <v>Spreadsheet functions used in this example</v>
      </c>
      <c r="D10" s="977"/>
      <c r="E10" s="977"/>
      <c r="F10" s="977"/>
      <c r="G10" s="977"/>
      <c r="H10" s="977"/>
      <c r="I10" s="977"/>
      <c r="J10" s="977"/>
      <c r="K10" s="977"/>
      <c r="L10" s="977"/>
      <c r="M10" s="977"/>
      <c r="N10" s="977"/>
    </row>
    <row r="11" spans="3:14" s="343" customFormat="1">
      <c r="C11" s="1636" t="str">
        <f>functions_seasonalising</f>
        <v>AVERAGE, CHOOSE, Conditional format, IF, OFFSET, ROW, SUM, TEXT, TREND</v>
      </c>
      <c r="D11" s="1636"/>
      <c r="E11" s="1636"/>
      <c r="F11" s="1636"/>
      <c r="G11" s="1636"/>
      <c r="H11" s="1636"/>
      <c r="I11" s="1636"/>
      <c r="J11" s="1636"/>
      <c r="K11" s="1636"/>
      <c r="L11" s="1636"/>
      <c r="M11" s="1636"/>
      <c r="N11" s="1636"/>
    </row>
    <row r="12" spans="3:14">
      <c r="C12" s="737"/>
      <c r="D12" s="737"/>
      <c r="E12" s="737"/>
      <c r="F12" s="737"/>
      <c r="G12" s="737"/>
      <c r="H12" s="737"/>
      <c r="I12" s="737"/>
      <c r="J12" s="737"/>
      <c r="K12" s="737"/>
      <c r="L12" s="737"/>
      <c r="M12" s="737"/>
      <c r="N12" s="737"/>
    </row>
    <row r="13" spans="3:14">
      <c r="C13" s="753" t="s">
        <v>602</v>
      </c>
      <c r="D13" s="754"/>
      <c r="E13" s="754"/>
      <c r="F13" s="755">
        <v>2</v>
      </c>
    </row>
    <row r="14" spans="3:14" ht="18.75" customHeight="1">
      <c r="C14" s="1645" t="s">
        <v>120</v>
      </c>
      <c r="D14" s="1646"/>
      <c r="E14" s="1646"/>
      <c r="F14" s="1647"/>
      <c r="I14" s="270"/>
      <c r="J14" s="270"/>
      <c r="K14" s="270"/>
      <c r="L14" s="270"/>
      <c r="M14" s="270"/>
    </row>
    <row r="15" spans="3:14" ht="18.75" customHeight="1">
      <c r="C15" s="1642" t="s">
        <v>119</v>
      </c>
      <c r="D15" s="1643"/>
      <c r="E15" s="1643"/>
      <c r="F15" s="1644"/>
      <c r="I15" s="80"/>
      <c r="J15" s="80"/>
      <c r="K15" s="80"/>
      <c r="L15" s="80"/>
      <c r="M15" s="80"/>
    </row>
    <row r="16" spans="3:14" ht="3.75" customHeight="1"/>
    <row r="17" spans="3:6">
      <c r="C17" s="738"/>
      <c r="D17" s="1637" t="s">
        <v>603</v>
      </c>
      <c r="E17" s="1638"/>
      <c r="F17" s="1638"/>
    </row>
    <row r="18" spans="3:6" ht="13">
      <c r="C18" s="739"/>
      <c r="D18" s="740">
        <v>1</v>
      </c>
      <c r="E18" s="740">
        <v>2</v>
      </c>
      <c r="F18" s="741">
        <v>3</v>
      </c>
    </row>
    <row r="19" spans="3:6" ht="13">
      <c r="C19" s="742" t="str">
        <f>TEXT(seasonalising_calcs!H3,"0")&amp;" Q1"</f>
        <v>2006 Q1</v>
      </c>
      <c r="D19" s="743">
        <f>seasonalising_calcs!B3</f>
        <v>7931.7433862581311</v>
      </c>
      <c r="E19" s="743">
        <f>seasonalising_calcs!C3</f>
        <v>600</v>
      </c>
      <c r="F19" s="744">
        <f>seasonalising_calcs!D3</f>
        <v>200</v>
      </c>
    </row>
    <row r="20" spans="3:6" ht="13">
      <c r="C20" s="745" t="s">
        <v>1519</v>
      </c>
      <c r="D20" s="743">
        <f>seasonalising_calcs!B4</f>
        <v>6537.473144317707</v>
      </c>
      <c r="E20" s="743">
        <f>seasonalising_calcs!C4</f>
        <v>728.8900307156963</v>
      </c>
      <c r="F20" s="744">
        <f>seasonalising_calcs!D4</f>
        <v>269.51116606409551</v>
      </c>
    </row>
    <row r="21" spans="3:6" ht="13">
      <c r="C21" s="745" t="s">
        <v>1520</v>
      </c>
      <c r="D21" s="743">
        <f>seasonalising_calcs!B5</f>
        <v>6352.9246785891692</v>
      </c>
      <c r="E21" s="743">
        <f>seasonalising_calcs!C5</f>
        <v>769.51967443480157</v>
      </c>
      <c r="F21" s="744">
        <f>seasonalising_calcs!D5</f>
        <v>225.81045857701193</v>
      </c>
    </row>
    <row r="22" spans="3:6" ht="13">
      <c r="C22" s="745" t="s">
        <v>1521</v>
      </c>
      <c r="D22" s="743">
        <f>seasonalising_calcs!B6</f>
        <v>7782.4522030476164</v>
      </c>
      <c r="E22" s="743">
        <f>seasonalising_calcs!C6</f>
        <v>881.09370265629116</v>
      </c>
      <c r="F22" s="744">
        <f>seasonalising_calcs!D6</f>
        <v>194.32344474920785</v>
      </c>
    </row>
    <row r="23" spans="3:6" ht="13">
      <c r="C23" s="742" t="str">
        <f>TEXT(seasonalising_calcs!H7,"0")&amp;" Q1"</f>
        <v>2007 Q1</v>
      </c>
      <c r="D23" s="743">
        <f>seasonalising_calcs!B7</f>
        <v>8090.8280345909698</v>
      </c>
      <c r="E23" s="743">
        <f>seasonalising_calcs!C7</f>
        <v>725.71587503886167</v>
      </c>
      <c r="F23" s="744">
        <f>seasonalising_calcs!D7</f>
        <v>210.24589400734928</v>
      </c>
    </row>
    <row r="24" spans="3:6" ht="13">
      <c r="C24" s="745" t="s">
        <v>1519</v>
      </c>
      <c r="D24" s="743">
        <f>seasonalising_calcs!B8</f>
        <v>6528.1606189710928</v>
      </c>
      <c r="E24" s="743">
        <f>seasonalising_calcs!C8</f>
        <v>725.32387671865592</v>
      </c>
      <c r="F24" s="744">
        <f>seasonalising_calcs!D8</f>
        <v>191.80289559304853</v>
      </c>
    </row>
    <row r="25" spans="3:6" ht="13">
      <c r="C25" s="745" t="s">
        <v>1520</v>
      </c>
      <c r="D25" s="743">
        <f>seasonalising_calcs!B9</f>
        <v>6770.4771570037674</v>
      </c>
      <c r="E25" s="743">
        <f>seasonalising_calcs!C9</f>
        <v>675.90742647204775</v>
      </c>
      <c r="F25" s="744">
        <f>seasonalising_calcs!D9</f>
        <v>165.118965275807</v>
      </c>
    </row>
    <row r="26" spans="3:6" ht="13">
      <c r="C26" s="745" t="s">
        <v>1521</v>
      </c>
      <c r="D26" s="743">
        <f>seasonalising_calcs!B10</f>
        <v>7866.1221131851762</v>
      </c>
      <c r="E26" s="743">
        <f>seasonalising_calcs!C10</f>
        <v>822.06983032838514</v>
      </c>
      <c r="F26" s="744">
        <f>seasonalising_calcs!D10</f>
        <v>151.31261926988535</v>
      </c>
    </row>
    <row r="27" spans="3:6" ht="13">
      <c r="C27" s="742" t="str">
        <f>TEXT(seasonalising_calcs!H11,"0")&amp;" Q1"</f>
        <v>2008 Q1</v>
      </c>
      <c r="D27" s="743">
        <f>seasonalising_calcs!B11</f>
        <v>8375.3992352491859</v>
      </c>
      <c r="E27" s="743">
        <f>seasonalising_calcs!C11</f>
        <v>700.07173741929364</v>
      </c>
      <c r="F27" s="744">
        <f>seasonalising_calcs!D11</f>
        <v>146.11787052471385</v>
      </c>
    </row>
    <row r="28" spans="3:6" ht="13">
      <c r="C28" s="745" t="s">
        <v>1519</v>
      </c>
      <c r="D28" s="743">
        <f>seasonalising_calcs!B12</f>
        <v>6913.6456692609554</v>
      </c>
      <c r="E28" s="743">
        <f>seasonalising_calcs!C12</f>
        <v>845.77205887309503</v>
      </c>
      <c r="F28" s="744">
        <f>seasonalising_calcs!D12</f>
        <v>163.50261202328008</v>
      </c>
    </row>
    <row r="29" spans="3:6" ht="13">
      <c r="C29" s="745" t="s">
        <v>1520</v>
      </c>
      <c r="D29" s="743">
        <f>seasonalising_calcs!B13</f>
        <v>6938.1620779410832</v>
      </c>
      <c r="E29" s="743">
        <f>seasonalising_calcs!C13</f>
        <v>838.44598493922126</v>
      </c>
      <c r="F29" s="744">
        <f>seasonalising_calcs!D13</f>
        <v>142.86240240520567</v>
      </c>
    </row>
    <row r="30" spans="3:6" ht="13">
      <c r="C30" s="745" t="s">
        <v>1521</v>
      </c>
      <c r="D30" s="743">
        <f>seasonalising_calcs!B14</f>
        <v>8393.3707437996982</v>
      </c>
      <c r="E30" s="743">
        <f>seasonalising_calcs!C14</f>
        <v>862.78641492348743</v>
      </c>
      <c r="F30" s="744">
        <f>seasonalising_calcs!D14</f>
        <v>129.993602481615</v>
      </c>
    </row>
    <row r="31" spans="3:6" ht="13">
      <c r="C31" s="742" t="str">
        <f>TEXT(seasonalising_calcs!H15,"0")&amp;" Q1"</f>
        <v>2009 Q1</v>
      </c>
      <c r="D31" s="743">
        <f>seasonalising_calcs!B15</f>
        <v>8948.2349712142004</v>
      </c>
      <c r="E31" s="743">
        <f>seasonalising_calcs!C15</f>
        <v>782.79976726288726</v>
      </c>
      <c r="F31" s="744">
        <f>seasonalising_calcs!D15</f>
        <v>135.45184387174146</v>
      </c>
    </row>
    <row r="32" spans="3:6" ht="13">
      <c r="C32" s="745" t="s">
        <v>1519</v>
      </c>
      <c r="D32" s="743">
        <f>seasonalising_calcs!B16</f>
        <v>8288.0093529368714</v>
      </c>
      <c r="E32" s="743">
        <f>seasonalising_calcs!C16</f>
        <v>885.85392788992101</v>
      </c>
      <c r="F32" s="744">
        <f>seasonalising_calcs!D16</f>
        <v>141.49652021885785</v>
      </c>
    </row>
    <row r="33" spans="3:14" ht="13">
      <c r="C33" s="745" t="s">
        <v>1520</v>
      </c>
      <c r="D33" s="743">
        <f>seasonalising_calcs!B17</f>
        <v>7959.6353879440212</v>
      </c>
      <c r="E33" s="743">
        <f>seasonalising_calcs!C17</f>
        <v>959.86054783575264</v>
      </c>
      <c r="F33" s="744">
        <f>seasonalising_calcs!D17</f>
        <v>141.12233299548171</v>
      </c>
    </row>
    <row r="34" spans="3:14" ht="13">
      <c r="C34" s="746" t="s">
        <v>1521</v>
      </c>
      <c r="D34" s="747">
        <f>seasonalising_calcs!B18</f>
        <v>9709.256397481051</v>
      </c>
      <c r="E34" s="747">
        <f>seasonalising_calcs!C18</f>
        <v>1032.4420445856556</v>
      </c>
      <c r="F34" s="748">
        <f>seasonalising_calcs!D18</f>
        <v>156.28208256796052</v>
      </c>
    </row>
    <row r="35" spans="3:14">
      <c r="C35" s="749"/>
    </row>
    <row r="36" spans="3:14">
      <c r="C36" s="749"/>
    </row>
    <row r="37" spans="3:14">
      <c r="C37" s="1640" t="str">
        <f>back_to_index</f>
        <v>Back to contents</v>
      </c>
      <c r="D37" s="1640"/>
      <c r="G37" s="1530" t="str">
        <f>page_prefix &amp; page_seasonalising &amp; page_suffix</f>
        <v>- Page 16 -</v>
      </c>
      <c r="H37" s="1530"/>
      <c r="I37" s="1530"/>
      <c r="J37" s="1530"/>
      <c r="L37" s="1639" t="str">
        <f>back_to_top</f>
        <v>Back to top</v>
      </c>
      <c r="M37" s="1639"/>
      <c r="N37" s="1639"/>
    </row>
    <row r="38" spans="3:14">
      <c r="G38" s="1530" t="str">
        <f>copyright</f>
        <v>Copyright (c) 2009 Tykoh Group Pty Limited</v>
      </c>
      <c r="H38" s="1530"/>
      <c r="I38" s="1530"/>
      <c r="J38" s="1530"/>
    </row>
    <row r="39" spans="3:14">
      <c r="G39" s="1452" t="str">
        <f>home_address</f>
        <v>www.tykoh.com</v>
      </c>
      <c r="H39" s="1452"/>
      <c r="I39" s="1452"/>
      <c r="J39" s="1452"/>
    </row>
    <row r="40" spans="3:14"/>
  </sheetData>
  <sheetProtection algorithmName="SHA-512" hashValue="Qgr0wiC8C3MbgPlayvNKm3AkMoD8KInoA4rXh0/bGtHIUj+dkms1Wm5VLvO8RacqGgB+ByMeC4ryH6VlQkDzAA==" saltValue="G/rU6aMmRlycR2gtOGMp+Q==" spinCount="100000" sheet="1" objects="1" scenarios="1"/>
  <mergeCells count="11">
    <mergeCell ref="C5:K8"/>
    <mergeCell ref="L4:N8"/>
    <mergeCell ref="C15:F15"/>
    <mergeCell ref="G38:J38"/>
    <mergeCell ref="C14:F14"/>
    <mergeCell ref="C11:N11"/>
    <mergeCell ref="G39:J39"/>
    <mergeCell ref="D17:F17"/>
    <mergeCell ref="L37:N37"/>
    <mergeCell ref="C37:D37"/>
    <mergeCell ref="G37:J37"/>
  </mergeCells>
  <phoneticPr fontId="2" type="noConversion"/>
  <conditionalFormatting sqref="D18:F34">
    <cfRule type="expression" dxfId="54" priority="1" stopIfTrue="1">
      <formula>D$18=$F$13</formula>
    </cfRule>
  </conditionalFormatting>
  <dataValidations count="1">
    <dataValidation type="list" allowBlank="1" showInputMessage="1" showErrorMessage="1" error="Data set has to be 1,2 or 3" sqref="F13" xr:uid="{00000000-0002-0000-1700-000000000000}">
      <formula1>"1,2,3"</formula1>
    </dataValidation>
  </dataValidations>
  <hyperlinks>
    <hyperlink ref="L37:N37" location="hh_seasonalising" display="hh_seasonalising" xr:uid="{00000000-0004-0000-1700-000000000000}"/>
    <hyperlink ref="C37:D37" location="hh_index" display="hh_index" xr:uid="{00000000-0004-0000-1700-000001000000}"/>
    <hyperlink ref="G39:J39" r:id="rId1" display="https://www.tykoh.com/" xr:uid="{00000000-0004-0000-1700-000002000000}"/>
  </hyperlinks>
  <pageMargins left="0.75" right="0.75" top="1" bottom="1" header="0.5" footer="0.5"/>
  <pageSetup scale="74"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64514" r:id="rId5" name="Check Box 2">
              <controlPr defaultSize="0" autoFill="0" autoLine="0" autoPict="0">
                <anchor moveWithCells="1">
                  <from>
                    <xdr:col>5</xdr:col>
                    <xdr:colOff>406400</xdr:colOff>
                    <xdr:row>14</xdr:row>
                    <xdr:rowOff>19050</xdr:rowOff>
                  </from>
                  <to>
                    <xdr:col>6</xdr:col>
                    <xdr:colOff>222250</xdr:colOff>
                    <xdr:row>15</xdr:row>
                    <xdr:rowOff>0</xdr:rowOff>
                  </to>
                </anchor>
              </controlPr>
            </control>
          </mc:Choice>
        </mc:AlternateContent>
        <mc:AlternateContent xmlns:mc="http://schemas.openxmlformats.org/markup-compatibility/2006">
          <mc:Choice Requires="x14">
            <control shapeId="64518" r:id="rId6" name="Check Box 6">
              <controlPr defaultSize="0" autoFill="0" autoLine="0" autoPict="0">
                <anchor moveWithCells="1">
                  <from>
                    <xdr:col>5</xdr:col>
                    <xdr:colOff>406400</xdr:colOff>
                    <xdr:row>13</xdr:row>
                    <xdr:rowOff>31750</xdr:rowOff>
                  </from>
                  <to>
                    <xdr:col>6</xdr:col>
                    <xdr:colOff>38100</xdr:colOff>
                    <xdr:row>14</xdr:row>
                    <xdr:rowOff>6350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2"/>
  <dimension ref="A1:S42"/>
  <sheetViews>
    <sheetView workbookViewId="0">
      <selection activeCell="H4" sqref="H4"/>
    </sheetView>
  </sheetViews>
  <sheetFormatPr defaultColWidth="9" defaultRowHeight="12.5"/>
  <cols>
    <col min="1" max="1" width="1" style="723" customWidth="1"/>
    <col min="2" max="2" width="1" style="726" customWidth="1"/>
    <col min="3" max="3" width="8.54296875" style="726" bestFit="1" customWidth="1"/>
    <col min="4" max="11" width="7.54296875" style="726" customWidth="1"/>
    <col min="12" max="12" width="8.1796875" style="726" bestFit="1" customWidth="1"/>
    <col min="13" max="16" width="7.54296875" style="726" customWidth="1"/>
    <col min="17" max="17" width="9" style="726" customWidth="1"/>
    <col min="18" max="18" width="10.453125" style="726" customWidth="1"/>
    <col min="19" max="16384" width="9" style="726"/>
  </cols>
  <sheetData>
    <row r="1" spans="1:19" ht="25">
      <c r="B1" s="724" t="s">
        <v>604</v>
      </c>
      <c r="C1" s="724" t="s">
        <v>605</v>
      </c>
      <c r="D1" s="724" t="s">
        <v>606</v>
      </c>
      <c r="E1" s="724" t="s">
        <v>1574</v>
      </c>
      <c r="F1" s="724" t="s">
        <v>607</v>
      </c>
      <c r="G1" s="725" t="s">
        <v>608</v>
      </c>
      <c r="H1" s="724"/>
      <c r="I1" s="725" t="s">
        <v>116</v>
      </c>
      <c r="J1" s="1648" t="s">
        <v>118</v>
      </c>
      <c r="K1" s="1649"/>
      <c r="L1" s="1648" t="s">
        <v>117</v>
      </c>
      <c r="M1" s="1650"/>
      <c r="N1" s="726" t="s">
        <v>0</v>
      </c>
      <c r="R1" s="726" t="s">
        <v>607</v>
      </c>
      <c r="S1" s="726" t="s">
        <v>668</v>
      </c>
    </row>
    <row r="2" spans="1:19">
      <c r="O2" s="727" t="s">
        <v>1</v>
      </c>
      <c r="P2" s="727" t="s">
        <v>767</v>
      </c>
      <c r="Q2" s="727"/>
    </row>
    <row r="3" spans="1:19">
      <c r="A3" s="726">
        <v>0</v>
      </c>
      <c r="B3" s="724">
        <v>7931.7433862581311</v>
      </c>
      <c r="C3" s="726">
        <v>600</v>
      </c>
      <c r="D3" s="724">
        <v>200</v>
      </c>
      <c r="E3" s="724">
        <f>CHOOSE(Seasonalising!$F$13,B3,C3,D3)</f>
        <v>600</v>
      </c>
      <c r="F3" s="724">
        <f>SUM(E3:E6)</f>
        <v>2979.5034078067888</v>
      </c>
      <c r="G3" s="724"/>
      <c r="H3" s="723">
        <v>2006</v>
      </c>
      <c r="I3" s="724">
        <f>$S$3*P3/4</f>
        <v>651.90364844292992</v>
      </c>
      <c r="J3" s="724">
        <f t="shared" ref="J3:J18" si="0">IF(season_interpolate,H3,$H$3)</f>
        <v>2006</v>
      </c>
      <c r="K3" s="726">
        <f t="shared" ref="K3:K18" si="1">IF(season_interpolate,I3,$E$3)</f>
        <v>651.90364844292992</v>
      </c>
      <c r="L3" s="750"/>
      <c r="M3" s="724"/>
      <c r="N3" s="726" t="s">
        <v>1518</v>
      </c>
      <c r="O3" s="724">
        <f>AVERAGE(E3,E7,E11,E15)</f>
        <v>702.14684493026061</v>
      </c>
      <c r="P3" s="726">
        <f>O3/AVERAGE($F$3,$F$7,$F$11,$F$15)*4</f>
        <v>0.87518429646341089</v>
      </c>
      <c r="R3" s="723">
        <f>H3</f>
        <v>2006</v>
      </c>
      <c r="S3" s="724">
        <f>F3</f>
        <v>2979.5034078067888</v>
      </c>
    </row>
    <row r="4" spans="1:19">
      <c r="A4" s="726">
        <f t="shared" ref="A4:A18" si="2">A3+1</f>
        <v>1</v>
      </c>
      <c r="B4" s="724">
        <v>6537.473144317707</v>
      </c>
      <c r="C4" s="726">
        <v>728.8900307156963</v>
      </c>
      <c r="D4" s="726">
        <v>269.51116606409551</v>
      </c>
      <c r="E4" s="724">
        <f>CHOOSE(Seasonalising!$F$13,B4,C4,D4)</f>
        <v>728.8900307156963</v>
      </c>
      <c r="F4" s="724"/>
      <c r="H4" s="723">
        <f t="shared" ref="H4:H18" si="3">H3+0.25</f>
        <v>2006.25</v>
      </c>
      <c r="I4" s="724">
        <f>$S$3*P4/4</f>
        <v>739.46805621144051</v>
      </c>
      <c r="J4" s="724">
        <f t="shared" si="0"/>
        <v>2006.25</v>
      </c>
      <c r="K4" s="726">
        <f t="shared" si="1"/>
        <v>739.46805621144051</v>
      </c>
      <c r="L4" s="750"/>
      <c r="N4" s="726" t="s">
        <v>1519</v>
      </c>
      <c r="O4" s="724">
        <f>AVERAGE(E4,E8,E12,E16)</f>
        <v>796.45997354934207</v>
      </c>
      <c r="P4" s="726">
        <f>O4/AVERAGE($F$3,$F$7,$F$11,$F$15)*4</f>
        <v>0.99274000395356177</v>
      </c>
      <c r="R4" s="723">
        <f>R3+1</f>
        <v>2007</v>
      </c>
      <c r="S4" s="724">
        <f>F7</f>
        <v>2949.0170085579502</v>
      </c>
    </row>
    <row r="5" spans="1:19">
      <c r="A5" s="726">
        <f t="shared" si="2"/>
        <v>2</v>
      </c>
      <c r="B5" s="724">
        <v>6352.9246785891692</v>
      </c>
      <c r="C5" s="726">
        <v>769.51967443480157</v>
      </c>
      <c r="D5" s="726">
        <v>225.81045857701193</v>
      </c>
      <c r="E5" s="724">
        <f>CHOOSE(Seasonalising!$F$13,B5,C5,D5)</f>
        <v>769.51967443480157</v>
      </c>
      <c r="F5" s="724"/>
      <c r="H5" s="723">
        <f t="shared" si="3"/>
        <v>2006.5</v>
      </c>
      <c r="I5" s="724">
        <f>$S$3*P5/4</f>
        <v>752.90582220883289</v>
      </c>
      <c r="J5" s="724">
        <f t="shared" si="0"/>
        <v>2006.5</v>
      </c>
      <c r="K5" s="726">
        <f t="shared" si="1"/>
        <v>752.90582220883289</v>
      </c>
      <c r="L5" s="750"/>
      <c r="N5" s="726" t="s">
        <v>1520</v>
      </c>
      <c r="O5" s="724">
        <f>AVERAGE(E5,E9,E13,E17)</f>
        <v>810.93340842045575</v>
      </c>
      <c r="P5" s="726">
        <f>O5/AVERAGE($F$3,$F$7,$F$11,$F$15)*4</f>
        <v>1.0107802800105492</v>
      </c>
      <c r="R5" s="723">
        <f>H11</f>
        <v>2008</v>
      </c>
      <c r="S5" s="724">
        <f>F11</f>
        <v>3247.076196155097</v>
      </c>
    </row>
    <row r="6" spans="1:19">
      <c r="A6" s="726">
        <f t="shared" si="2"/>
        <v>3</v>
      </c>
      <c r="B6" s="724">
        <v>7782.4522030476164</v>
      </c>
      <c r="C6" s="726">
        <v>881.09370265629116</v>
      </c>
      <c r="D6" s="726">
        <v>194.32344474920785</v>
      </c>
      <c r="E6" s="724">
        <f>CHOOSE(Seasonalising!$F$13,B6,C6,D6)</f>
        <v>881.09370265629116</v>
      </c>
      <c r="F6" s="724"/>
      <c r="H6" s="723">
        <f t="shared" si="3"/>
        <v>2006.75</v>
      </c>
      <c r="I6" s="724">
        <f>$S$3*P6/4</f>
        <v>835.22588094358582</v>
      </c>
      <c r="J6" s="724">
        <f t="shared" si="0"/>
        <v>2006.75</v>
      </c>
      <c r="K6" s="726">
        <f t="shared" si="1"/>
        <v>835.22588094358582</v>
      </c>
      <c r="L6" s="750"/>
      <c r="N6" s="726" t="s">
        <v>1521</v>
      </c>
      <c r="O6" s="724">
        <f>AVERAGE(E6,E10,E14,E18)</f>
        <v>899.59799812345477</v>
      </c>
      <c r="P6" s="726">
        <f>O6/AVERAGE($F$3,$F$7,$F$11,$F$15)*4</f>
        <v>1.1212954195724787</v>
      </c>
      <c r="R6" s="723">
        <f>H15</f>
        <v>2009</v>
      </c>
      <c r="S6" s="724">
        <f>F15</f>
        <v>3660.9562875742167</v>
      </c>
    </row>
    <row r="7" spans="1:19">
      <c r="A7" s="726">
        <f t="shared" si="2"/>
        <v>4</v>
      </c>
      <c r="B7" s="724">
        <v>8090.8280345909698</v>
      </c>
      <c r="C7" s="726">
        <v>725.71587503886167</v>
      </c>
      <c r="D7" s="726">
        <v>210.24589400734928</v>
      </c>
      <c r="E7" s="724">
        <f>CHOOSE(Seasonalising!$F$13,B7,C7,D7)</f>
        <v>725.71587503886167</v>
      </c>
      <c r="F7" s="724">
        <f>SUM(E7:E10)</f>
        <v>2949.0170085579502</v>
      </c>
      <c r="H7" s="723">
        <f t="shared" si="3"/>
        <v>2007</v>
      </c>
      <c r="I7" s="724">
        <f>$S$4*P3/4</f>
        <v>645.23334397335555</v>
      </c>
      <c r="J7" s="724">
        <f t="shared" si="0"/>
        <v>2007</v>
      </c>
      <c r="K7" s="726">
        <f t="shared" si="1"/>
        <v>645.23334397335555</v>
      </c>
      <c r="L7" s="750"/>
      <c r="R7" s="723">
        <f>O9</f>
        <v>2010</v>
      </c>
      <c r="S7" s="724">
        <f>P9</f>
        <v>3794.7426817483502</v>
      </c>
    </row>
    <row r="8" spans="1:19">
      <c r="A8" s="726">
        <f t="shared" si="2"/>
        <v>5</v>
      </c>
      <c r="B8" s="724">
        <v>6528.1606189710928</v>
      </c>
      <c r="C8" s="726">
        <v>725.32387671865592</v>
      </c>
      <c r="D8" s="726">
        <v>191.80289559304853</v>
      </c>
      <c r="E8" s="724">
        <f>CHOOSE(Seasonalising!$F$13,B8,C8,D8)</f>
        <v>725.32387671865592</v>
      </c>
      <c r="F8" s="724"/>
      <c r="H8" s="723">
        <f t="shared" si="3"/>
        <v>2007.25</v>
      </c>
      <c r="I8" s="724">
        <f>$S$4*P4/4</f>
        <v>731.9017891837351</v>
      </c>
      <c r="J8" s="724">
        <f t="shared" si="0"/>
        <v>2007.25</v>
      </c>
      <c r="K8" s="726">
        <f t="shared" si="1"/>
        <v>731.9017891837351</v>
      </c>
      <c r="L8" s="750"/>
      <c r="N8" s="726" t="s">
        <v>2</v>
      </c>
      <c r="P8" s="726" t="s">
        <v>3</v>
      </c>
      <c r="R8" s="723">
        <f>O10</f>
        <v>2011</v>
      </c>
      <c r="S8" s="724">
        <f>P10</f>
        <v>4028.9844644382829</v>
      </c>
    </row>
    <row r="9" spans="1:19">
      <c r="A9" s="726">
        <f t="shared" si="2"/>
        <v>6</v>
      </c>
      <c r="B9" s="724">
        <v>6770.4771570037674</v>
      </c>
      <c r="C9" s="726">
        <v>675.90742647204775</v>
      </c>
      <c r="D9" s="726">
        <v>165.118965275807</v>
      </c>
      <c r="E9" s="724">
        <f>CHOOSE(Seasonalising!$F$13,B9,C9,D9)</f>
        <v>675.90742647204775</v>
      </c>
      <c r="F9" s="724"/>
      <c r="H9" s="723">
        <f t="shared" si="3"/>
        <v>2007.5</v>
      </c>
      <c r="I9" s="724">
        <f>$S$4*P5/4</f>
        <v>745.20205941651932</v>
      </c>
      <c r="J9" s="724">
        <f t="shared" si="0"/>
        <v>2007.5</v>
      </c>
      <c r="K9" s="726">
        <f t="shared" si="1"/>
        <v>745.20205941651932</v>
      </c>
      <c r="L9" s="750"/>
      <c r="N9" s="726" t="s">
        <v>1573</v>
      </c>
      <c r="O9" s="723">
        <f>H19</f>
        <v>2010</v>
      </c>
      <c r="P9" s="724">
        <f t="array" ref="P9:P10">TREND(S3:S6,R3:R6,O9:O10)</f>
        <v>3794.7426817483502</v>
      </c>
    </row>
    <row r="10" spans="1:19">
      <c r="A10" s="726">
        <f t="shared" si="2"/>
        <v>7</v>
      </c>
      <c r="B10" s="724">
        <v>7866.1221131851762</v>
      </c>
      <c r="C10" s="726">
        <v>822.06983032838514</v>
      </c>
      <c r="D10" s="726">
        <v>151.31261926988535</v>
      </c>
      <c r="E10" s="724">
        <f>CHOOSE(Seasonalising!$F$13,B10,C10,D10)</f>
        <v>822.06983032838514</v>
      </c>
      <c r="F10" s="724"/>
      <c r="H10" s="723">
        <f t="shared" si="3"/>
        <v>2007.75</v>
      </c>
      <c r="I10" s="724">
        <f>$S$4*P6/4</f>
        <v>826.67981598434073</v>
      </c>
      <c r="J10" s="724">
        <f t="shared" si="0"/>
        <v>2007.75</v>
      </c>
      <c r="K10" s="726">
        <f t="shared" si="1"/>
        <v>826.67981598434073</v>
      </c>
      <c r="L10" s="750"/>
      <c r="O10" s="723">
        <f>H23</f>
        <v>2011</v>
      </c>
      <c r="P10" s="724">
        <v>4028.9844644382829</v>
      </c>
    </row>
    <row r="11" spans="1:19">
      <c r="A11" s="726">
        <f t="shared" si="2"/>
        <v>8</v>
      </c>
      <c r="B11" s="726">
        <v>8375.3992352491859</v>
      </c>
      <c r="C11" s="726">
        <v>700.07173741929364</v>
      </c>
      <c r="D11" s="726">
        <v>146.11787052471385</v>
      </c>
      <c r="E11" s="724">
        <f>CHOOSE(Seasonalising!$F$13,B11,C11,D11)</f>
        <v>700.07173741929364</v>
      </c>
      <c r="F11" s="724">
        <f>SUM(E11:E14)</f>
        <v>3247.076196155097</v>
      </c>
      <c r="H11" s="723">
        <f t="shared" si="3"/>
        <v>2008</v>
      </c>
      <c r="I11" s="724">
        <f>$S$5*P3/4</f>
        <v>710.44752407377177</v>
      </c>
      <c r="J11" s="724">
        <f t="shared" si="0"/>
        <v>2008</v>
      </c>
      <c r="K11" s="726">
        <f t="shared" si="1"/>
        <v>710.44752407377177</v>
      </c>
      <c r="L11" s="750"/>
    </row>
    <row r="12" spans="1:19">
      <c r="A12" s="726">
        <f t="shared" si="2"/>
        <v>9</v>
      </c>
      <c r="B12" s="726">
        <v>6913.6456692609554</v>
      </c>
      <c r="C12" s="726">
        <v>845.77205887309503</v>
      </c>
      <c r="D12" s="726">
        <v>163.50261202328008</v>
      </c>
      <c r="E12" s="724">
        <f>CHOOSE(Seasonalising!$F$13,B12,C12,D12)</f>
        <v>845.77205887309503</v>
      </c>
      <c r="F12" s="724"/>
      <c r="H12" s="723">
        <f t="shared" si="3"/>
        <v>2008.25</v>
      </c>
      <c r="I12" s="724">
        <f>$S$5*P4/4</f>
        <v>805.87560895213187</v>
      </c>
      <c r="J12" s="724">
        <f t="shared" si="0"/>
        <v>2008.25</v>
      </c>
      <c r="K12" s="726">
        <f t="shared" si="1"/>
        <v>805.87560895213187</v>
      </c>
      <c r="L12" s="750"/>
    </row>
    <row r="13" spans="1:19">
      <c r="A13" s="726">
        <f t="shared" si="2"/>
        <v>10</v>
      </c>
      <c r="B13" s="726">
        <v>6938.1620779410832</v>
      </c>
      <c r="C13" s="726">
        <v>838.44598493922126</v>
      </c>
      <c r="D13" s="726">
        <v>142.86240240520567</v>
      </c>
      <c r="E13" s="724">
        <f>CHOOSE(Seasonalising!$F$13,B13,C13,D13)</f>
        <v>838.44598493922126</v>
      </c>
      <c r="F13" s="724"/>
      <c r="H13" s="723">
        <f t="shared" si="3"/>
        <v>2008.5</v>
      </c>
      <c r="I13" s="724">
        <f>$S$5*P5/4</f>
        <v>820.52014669130949</v>
      </c>
      <c r="J13" s="724">
        <f t="shared" si="0"/>
        <v>2008.5</v>
      </c>
      <c r="K13" s="726">
        <f t="shared" si="1"/>
        <v>820.52014669130949</v>
      </c>
      <c r="L13" s="750"/>
      <c r="N13" s="726" t="s">
        <v>117</v>
      </c>
      <c r="P13" s="726" t="b">
        <v>1</v>
      </c>
    </row>
    <row r="14" spans="1:19">
      <c r="A14" s="726">
        <f t="shared" si="2"/>
        <v>11</v>
      </c>
      <c r="B14" s="726">
        <v>8393.3707437996982</v>
      </c>
      <c r="C14" s="726">
        <v>862.78641492348743</v>
      </c>
      <c r="D14" s="726">
        <v>129.993602481615</v>
      </c>
      <c r="E14" s="724">
        <f>CHOOSE(Seasonalising!$F$13,B14,C14,D14)</f>
        <v>862.78641492348743</v>
      </c>
      <c r="F14" s="724"/>
      <c r="H14" s="723">
        <f t="shared" si="3"/>
        <v>2008.75</v>
      </c>
      <c r="I14" s="724">
        <f>$S$5*P6/4</f>
        <v>910.23291643788446</v>
      </c>
      <c r="J14" s="724">
        <f t="shared" si="0"/>
        <v>2008.75</v>
      </c>
      <c r="K14" s="726">
        <f t="shared" si="1"/>
        <v>910.23291643788446</v>
      </c>
      <c r="L14" s="750"/>
      <c r="N14" s="726" t="s">
        <v>118</v>
      </c>
      <c r="P14" s="726" t="b">
        <v>1</v>
      </c>
    </row>
    <row r="15" spans="1:19">
      <c r="A15" s="726">
        <f t="shared" si="2"/>
        <v>12</v>
      </c>
      <c r="B15" s="726">
        <v>8948.2349712142004</v>
      </c>
      <c r="C15" s="726">
        <v>782.79976726288726</v>
      </c>
      <c r="D15" s="726">
        <v>135.45184387174146</v>
      </c>
      <c r="E15" s="724">
        <f>CHOOSE(Seasonalising!$F$13,B15,C15,D15)</f>
        <v>782.79976726288726</v>
      </c>
      <c r="F15" s="724">
        <f>SUM(E15:E18)</f>
        <v>3660.9562875742167</v>
      </c>
      <c r="H15" s="723">
        <f t="shared" si="3"/>
        <v>2009</v>
      </c>
      <c r="I15" s="724">
        <f>$S$6*P3/4</f>
        <v>801.00286323098533</v>
      </c>
      <c r="J15" s="724">
        <f t="shared" si="0"/>
        <v>2009</v>
      </c>
      <c r="K15" s="726">
        <f t="shared" si="1"/>
        <v>801.00286323098533</v>
      </c>
      <c r="L15" s="750"/>
      <c r="N15" s="726" t="str">
        <f>" Data Set "&amp;Seasonalising!F13</f>
        <v xml:space="preserve"> Data Set 2</v>
      </c>
    </row>
    <row r="16" spans="1:19">
      <c r="A16" s="726">
        <f t="shared" si="2"/>
        <v>13</v>
      </c>
      <c r="B16" s="726">
        <v>8288.0093529368714</v>
      </c>
      <c r="C16" s="726">
        <v>885.85392788992101</v>
      </c>
      <c r="D16" s="726">
        <v>141.49652021885785</v>
      </c>
      <c r="E16" s="724">
        <f>CHOOSE(Seasonalising!$F$13,B16,C16,D16)</f>
        <v>885.85392788992101</v>
      </c>
      <c r="F16" s="724"/>
      <c r="H16" s="723">
        <f t="shared" si="3"/>
        <v>2009.25</v>
      </c>
      <c r="I16" s="724">
        <f>$S$6*P4/4</f>
        <v>908.59443985006124</v>
      </c>
      <c r="J16" s="724">
        <f t="shared" si="0"/>
        <v>2009.25</v>
      </c>
      <c r="K16" s="726">
        <f t="shared" si="1"/>
        <v>908.59443985006124</v>
      </c>
      <c r="L16" s="750"/>
    </row>
    <row r="17" spans="1:15">
      <c r="A17" s="726">
        <f t="shared" si="2"/>
        <v>14</v>
      </c>
      <c r="B17" s="726">
        <v>7959.6353879440212</v>
      </c>
      <c r="C17" s="726">
        <v>959.86054783575264</v>
      </c>
      <c r="D17" s="726">
        <v>141.12233299548171</v>
      </c>
      <c r="E17" s="724">
        <f>CHOOSE(Seasonalising!$F$13,B17,C17,D17)</f>
        <v>959.86054783575264</v>
      </c>
      <c r="F17" s="724"/>
      <c r="H17" s="723">
        <f t="shared" si="3"/>
        <v>2009.5</v>
      </c>
      <c r="I17" s="724">
        <f>$S$6*P5/4</f>
        <v>925.10560536516186</v>
      </c>
      <c r="J17" s="724">
        <f t="shared" si="0"/>
        <v>2009.5</v>
      </c>
      <c r="K17" s="726">
        <f t="shared" si="1"/>
        <v>925.10560536516186</v>
      </c>
      <c r="L17" s="750"/>
    </row>
    <row r="18" spans="1:15">
      <c r="A18" s="726">
        <f t="shared" si="2"/>
        <v>15</v>
      </c>
      <c r="B18" s="726">
        <v>9709.256397481051</v>
      </c>
      <c r="C18" s="726">
        <v>1032.4420445856556</v>
      </c>
      <c r="D18" s="726">
        <v>156.28208256796052</v>
      </c>
      <c r="E18" s="724">
        <f>CHOOSE(Seasonalising!$F$13,B18,C18,D18)</f>
        <v>1032.4420445856556</v>
      </c>
      <c r="F18" s="724"/>
      <c r="H18" s="723">
        <f t="shared" si="3"/>
        <v>2009.75</v>
      </c>
      <c r="I18" s="724">
        <f>$S$6*P6/4</f>
        <v>1026.2533791280089</v>
      </c>
      <c r="J18" s="724">
        <f t="shared" si="0"/>
        <v>2009.75</v>
      </c>
      <c r="K18" s="726">
        <f t="shared" si="1"/>
        <v>1026.2533791280089</v>
      </c>
      <c r="L18" s="751">
        <f>IF(season_extrapolate,H18,H3)</f>
        <v>2009.75</v>
      </c>
      <c r="M18" s="752">
        <f>IF(season_extrapolate,E18,E3)</f>
        <v>1032.4420445856556</v>
      </c>
      <c r="O18" s="726" t="s">
        <v>121</v>
      </c>
    </row>
    <row r="19" spans="1:15">
      <c r="A19" s="726"/>
      <c r="H19" s="728">
        <f>H18+0.25</f>
        <v>2010</v>
      </c>
      <c r="I19" s="729">
        <f>$S$7*P3/4</f>
        <v>830.27480104640176</v>
      </c>
      <c r="J19" s="729"/>
      <c r="L19" s="750">
        <f t="shared" ref="L19:L26" si="4">IF(season_extrapolate,H19,$H$3)</f>
        <v>2010</v>
      </c>
      <c r="M19" s="726">
        <f t="shared" ref="M19:M26" si="5">IF(season_extrapolate,I19,$E$3)</f>
        <v>830.27480104640176</v>
      </c>
      <c r="O19" s="726" t="str">
        <f>IF(season_interpolate,"Seasonalised historic","&lt;not shown&gt;")</f>
        <v>Seasonalised historic</v>
      </c>
    </row>
    <row r="20" spans="1:15">
      <c r="A20" s="726"/>
      <c r="D20" s="724"/>
      <c r="E20" s="724"/>
      <c r="F20" s="724"/>
      <c r="G20" s="724"/>
      <c r="H20" s="728">
        <f t="shared" ref="H20:H26" si="6">H19+0.25</f>
        <v>2010.25</v>
      </c>
      <c r="I20" s="729">
        <f>$S$7*P4/4</f>
        <v>941.79821622040163</v>
      </c>
      <c r="J20" s="729"/>
      <c r="L20" s="750">
        <f t="shared" si="4"/>
        <v>2010.25</v>
      </c>
      <c r="M20" s="726">
        <f t="shared" si="5"/>
        <v>941.79821622040163</v>
      </c>
      <c r="O20" s="726" t="str">
        <f>IF(season_extrapolate,"Seasonalised future","&lt;not shown&gt;")</f>
        <v>Seasonalised future</v>
      </c>
    </row>
    <row r="21" spans="1:15">
      <c r="A21" s="726"/>
      <c r="H21" s="728">
        <f t="shared" si="6"/>
        <v>2010.5</v>
      </c>
      <c r="I21" s="729">
        <f>$S$7*P5/4</f>
        <v>958.91276760639494</v>
      </c>
      <c r="J21" s="729"/>
      <c r="L21" s="750">
        <f t="shared" si="4"/>
        <v>2010.5</v>
      </c>
      <c r="M21" s="726">
        <f t="shared" si="5"/>
        <v>958.91276760639494</v>
      </c>
    </row>
    <row r="22" spans="1:15">
      <c r="A22" s="726" t="s">
        <v>1518</v>
      </c>
      <c r="B22" s="726">
        <v>0.15</v>
      </c>
      <c r="H22" s="728">
        <f t="shared" si="6"/>
        <v>2010.75</v>
      </c>
      <c r="I22" s="729">
        <f>$S$7*P6/4</f>
        <v>1063.7568968751523</v>
      </c>
      <c r="J22" s="729"/>
      <c r="L22" s="750">
        <f t="shared" si="4"/>
        <v>2010.75</v>
      </c>
      <c r="M22" s="726">
        <f t="shared" si="5"/>
        <v>1063.7568968751523</v>
      </c>
    </row>
    <row r="23" spans="1:15">
      <c r="A23" s="726" t="s">
        <v>1519</v>
      </c>
      <c r="B23" s="726">
        <v>0</v>
      </c>
      <c r="H23" s="728">
        <f t="shared" si="6"/>
        <v>2011</v>
      </c>
      <c r="I23" s="729">
        <f>$S$8*P3/4</f>
        <v>881.52598349285768</v>
      </c>
      <c r="J23" s="729"/>
      <c r="L23" s="750">
        <f t="shared" si="4"/>
        <v>2011</v>
      </c>
      <c r="M23" s="726">
        <f t="shared" si="5"/>
        <v>881.52598349285768</v>
      </c>
    </row>
    <row r="24" spans="1:15">
      <c r="A24" s="726" t="s">
        <v>1520</v>
      </c>
      <c r="B24" s="726">
        <v>-0.05</v>
      </c>
      <c r="H24" s="728">
        <f t="shared" si="6"/>
        <v>2011.25</v>
      </c>
      <c r="I24" s="729">
        <f>$S$8*P4/4</f>
        <v>999.933513288825</v>
      </c>
      <c r="J24" s="729"/>
      <c r="L24" s="750">
        <f t="shared" si="4"/>
        <v>2011.25</v>
      </c>
      <c r="M24" s="726">
        <f t="shared" si="5"/>
        <v>999.933513288825</v>
      </c>
    </row>
    <row r="25" spans="1:15">
      <c r="A25" s="726" t="s">
        <v>1521</v>
      </c>
      <c r="B25" s="726">
        <v>-0.1</v>
      </c>
      <c r="H25" s="728">
        <f t="shared" si="6"/>
        <v>2011.5</v>
      </c>
      <c r="I25" s="729">
        <f>$S$8*P5/4</f>
        <v>1018.10451128077</v>
      </c>
      <c r="J25" s="729"/>
      <c r="L25" s="750">
        <f t="shared" si="4"/>
        <v>2011.5</v>
      </c>
      <c r="M25" s="726">
        <f t="shared" si="5"/>
        <v>1018.10451128077</v>
      </c>
    </row>
    <row r="26" spans="1:15">
      <c r="A26" s="726"/>
      <c r="H26" s="728">
        <f t="shared" si="6"/>
        <v>2011.75</v>
      </c>
      <c r="I26" s="729">
        <f>$S$8*P6/4</f>
        <v>1129.4204563758308</v>
      </c>
      <c r="J26" s="729"/>
      <c r="L26" s="750">
        <f t="shared" si="4"/>
        <v>2011.75</v>
      </c>
      <c r="M26" s="726">
        <f t="shared" si="5"/>
        <v>1129.4204563758308</v>
      </c>
    </row>
    <row r="27" spans="1:15">
      <c r="A27" s="726" t="s">
        <v>4</v>
      </c>
      <c r="B27" s="726">
        <v>2.5000000000000001E-2</v>
      </c>
    </row>
    <row r="28" spans="1:15">
      <c r="A28" s="726" t="s">
        <v>5</v>
      </c>
      <c r="B28" s="726">
        <v>0.3</v>
      </c>
    </row>
    <row r="29" spans="1:15">
      <c r="A29" s="723" t="s">
        <v>6</v>
      </c>
      <c r="B29" s="726">
        <v>0.1</v>
      </c>
      <c r="F29" s="726" t="e">
        <f ca="1">CF()</f>
        <v>#NAME?</v>
      </c>
    </row>
    <row r="31" spans="1:15">
      <c r="A31" s="730" t="s">
        <v>7</v>
      </c>
    </row>
    <row r="34" spans="4:6">
      <c r="D34" s="724"/>
    </row>
    <row r="35" spans="4:6">
      <c r="F35" s="724"/>
    </row>
    <row r="36" spans="4:6">
      <c r="F36" s="724"/>
    </row>
    <row r="37" spans="4:6">
      <c r="F37" s="724"/>
    </row>
    <row r="38" spans="4:6">
      <c r="F38" s="724"/>
    </row>
    <row r="39" spans="4:6">
      <c r="F39" s="724"/>
    </row>
    <row r="40" spans="4:6">
      <c r="F40" s="724"/>
    </row>
    <row r="41" spans="4:6">
      <c r="F41" s="724"/>
    </row>
    <row r="42" spans="4:6">
      <c r="F42" s="724"/>
    </row>
  </sheetData>
  <sheetProtection algorithmName="SHA-512" hashValue="GdhOUCbKI7hsLi9d8KLyKi7wQ8y7NQbcNz/BCw+ssWjPhsfClNkr5heOxcPCex1AlTe/r2zyE6R1AAgHyYvBaQ==" saltValue="XFWfA9uzl/I4XAJwWxTK3g==" spinCount="100000" sheet="1" objects="1" scenarios="1"/>
  <mergeCells count="2">
    <mergeCell ref="J1:K1"/>
    <mergeCell ref="L1:M1"/>
  </mergeCells>
  <phoneticPr fontId="2" type="noConversion"/>
  <pageMargins left="0.75" right="0.75" top="1" bottom="1" header="0.5" footer="0.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dimension ref="A1:Q131"/>
  <sheetViews>
    <sheetView showGridLines="0" showRowColHeaders="0" topLeftCell="A109" zoomScaleNormal="100" zoomScaleSheetLayoutView="100" workbookViewId="0">
      <selection activeCell="E130" sqref="E130:H130"/>
    </sheetView>
  </sheetViews>
  <sheetFormatPr defaultColWidth="0" defaultRowHeight="12.5" zeroHeight="1"/>
  <cols>
    <col min="1" max="2" width="1" style="32" customWidth="1"/>
    <col min="3" max="3" width="32.26953125" style="32" customWidth="1"/>
    <col min="4" max="6" width="8.54296875" style="32" customWidth="1"/>
    <col min="7" max="7" width="9.453125" style="32" customWidth="1"/>
    <col min="8" max="8" width="8.54296875" style="32" customWidth="1"/>
    <col min="9" max="9" width="8.54296875" style="125" customWidth="1"/>
    <col min="10" max="13" width="8.54296875" style="32" customWidth="1"/>
    <col min="14" max="14" width="1.81640625" style="32" customWidth="1"/>
    <col min="15" max="16384" width="0" style="32" hidden="1"/>
  </cols>
  <sheetData>
    <row r="1" spans="3:14" s="345" customFormat="1">
      <c r="C1" s="345" t="s">
        <v>1463</v>
      </c>
      <c r="E1" s="270"/>
      <c r="F1" s="270"/>
      <c r="G1" s="270"/>
      <c r="H1" s="270"/>
      <c r="I1" s="270"/>
      <c r="J1" s="270"/>
      <c r="K1" s="270"/>
      <c r="L1" s="270"/>
      <c r="M1" s="270"/>
      <c r="N1" s="270"/>
    </row>
    <row r="2" spans="3:14" s="345" customFormat="1">
      <c r="C2" s="346"/>
      <c r="D2" s="346"/>
      <c r="E2" s="1575"/>
      <c r="F2" s="1575"/>
      <c r="G2" s="1575"/>
      <c r="H2" s="1575"/>
      <c r="I2" s="346"/>
      <c r="J2" s="346"/>
      <c r="K2" s="346"/>
      <c r="L2" s="346"/>
      <c r="M2" s="346"/>
      <c r="N2" s="270"/>
    </row>
    <row r="3" spans="3:14" s="345" customFormat="1" ht="16" thickBot="1">
      <c r="C3" s="347" t="s">
        <v>757</v>
      </c>
      <c r="E3" s="270"/>
      <c r="F3" s="270"/>
      <c r="G3" s="270"/>
      <c r="H3" s="270"/>
      <c r="I3" s="270"/>
      <c r="J3" s="270"/>
      <c r="K3" s="270"/>
      <c r="L3" s="270"/>
      <c r="M3" s="270"/>
      <c r="N3" s="270"/>
    </row>
    <row r="4" spans="3:14" s="345" customFormat="1" ht="13" thickTop="1">
      <c r="E4" s="270"/>
      <c r="F4" s="270"/>
      <c r="G4" s="270"/>
      <c r="H4" s="270"/>
      <c r="I4" s="270"/>
      <c r="J4" s="270"/>
      <c r="K4" s="1663" t="str">
        <f ca="1">OFFSET(ad_first,OFFSET(ads_top,ROW(ads_sensitising_value)-1,1),0)</f>
        <v>Our Visual Basic course shows how to extend or change Microsoft Office products' functionality</v>
      </c>
      <c r="L4" s="1507"/>
      <c r="M4" s="1508"/>
      <c r="N4" s="270"/>
    </row>
    <row r="5" spans="3:14" s="345" customFormat="1">
      <c r="C5" s="1662" t="s">
        <v>292</v>
      </c>
      <c r="D5" s="1518"/>
      <c r="E5" s="1518"/>
      <c r="F5" s="1518"/>
      <c r="G5" s="1518"/>
      <c r="H5" s="1518"/>
      <c r="I5" s="1518"/>
      <c r="J5" s="1518"/>
      <c r="K5" s="1509"/>
      <c r="L5" s="1510"/>
      <c r="M5" s="1511"/>
      <c r="N5" s="270"/>
    </row>
    <row r="6" spans="3:14" s="345" customFormat="1">
      <c r="C6" s="1518"/>
      <c r="D6" s="1518"/>
      <c r="E6" s="1518"/>
      <c r="F6" s="1518"/>
      <c r="G6" s="1518"/>
      <c r="H6" s="1518"/>
      <c r="I6" s="1518"/>
      <c r="J6" s="1518"/>
      <c r="K6" s="1509"/>
      <c r="L6" s="1510"/>
      <c r="M6" s="1511"/>
      <c r="N6" s="270"/>
    </row>
    <row r="7" spans="3:14" s="345" customFormat="1">
      <c r="C7" s="1518"/>
      <c r="D7" s="1518"/>
      <c r="E7" s="1518"/>
      <c r="F7" s="1518"/>
      <c r="G7" s="1518"/>
      <c r="H7" s="1518"/>
      <c r="I7" s="1518"/>
      <c r="J7" s="1518"/>
      <c r="K7" s="1509"/>
      <c r="L7" s="1510"/>
      <c r="M7" s="1511"/>
      <c r="N7" s="270"/>
    </row>
    <row r="8" spans="3:14" s="345" customFormat="1" ht="13" thickBot="1">
      <c r="E8" s="270"/>
      <c r="F8" s="270"/>
      <c r="G8" s="270"/>
      <c r="H8" s="270"/>
      <c r="I8" s="270"/>
      <c r="J8" s="270"/>
      <c r="K8" s="1512"/>
      <c r="L8" s="1513"/>
      <c r="M8" s="1514"/>
      <c r="N8" s="270"/>
    </row>
    <row r="9" spans="3:14" s="345" customFormat="1" ht="13" thickTop="1">
      <c r="C9" s="1660" t="s">
        <v>293</v>
      </c>
      <c r="D9" s="1661"/>
      <c r="E9" s="1661"/>
      <c r="F9" s="1661"/>
      <c r="G9" s="1661"/>
      <c r="H9" s="1661"/>
      <c r="I9" s="1661"/>
      <c r="J9" s="1661"/>
      <c r="K9" s="1661"/>
      <c r="L9" s="1661"/>
      <c r="M9" s="1661"/>
      <c r="N9" s="270"/>
    </row>
    <row r="10" spans="3:14" s="345" customFormat="1">
      <c r="C10" s="1661"/>
      <c r="D10" s="1661"/>
      <c r="E10" s="1661"/>
      <c r="F10" s="1661"/>
      <c r="G10" s="1661"/>
      <c r="H10" s="1661"/>
      <c r="I10" s="1661"/>
      <c r="J10" s="1661"/>
      <c r="K10" s="1661"/>
      <c r="L10" s="1661"/>
      <c r="M10" s="1661"/>
      <c r="N10" s="270"/>
    </row>
    <row r="11" spans="3:14" s="345" customFormat="1">
      <c r="C11" s="1661"/>
      <c r="D11" s="1661"/>
      <c r="E11" s="1661"/>
      <c r="F11" s="1661"/>
      <c r="G11" s="1661"/>
      <c r="H11" s="1661"/>
      <c r="I11" s="1661"/>
      <c r="J11" s="1661"/>
      <c r="K11" s="1661"/>
      <c r="L11" s="1661"/>
      <c r="M11" s="1661"/>
      <c r="N11" s="270"/>
    </row>
    <row r="12" spans="3:14" s="345" customFormat="1">
      <c r="C12" s="1661"/>
      <c r="D12" s="1661"/>
      <c r="E12" s="1661"/>
      <c r="F12" s="1661"/>
      <c r="G12" s="1661"/>
      <c r="H12" s="1661"/>
      <c r="I12" s="1661"/>
      <c r="J12" s="1661"/>
      <c r="K12" s="1661"/>
      <c r="L12" s="1661"/>
      <c r="M12" s="1661"/>
      <c r="N12" s="270"/>
    </row>
    <row r="13" spans="3:14" s="345" customFormat="1">
      <c r="C13" s="1661"/>
      <c r="D13" s="1661"/>
      <c r="E13" s="1661"/>
      <c r="F13" s="1661"/>
      <c r="G13" s="1661"/>
      <c r="H13" s="1661"/>
      <c r="I13" s="1661"/>
      <c r="J13" s="1661"/>
      <c r="K13" s="1661"/>
      <c r="L13" s="1661"/>
      <c r="M13" s="1661"/>
      <c r="N13" s="270"/>
    </row>
    <row r="14" spans="3:14" s="345" customFormat="1">
      <c r="E14" s="270"/>
      <c r="F14" s="270"/>
      <c r="G14" s="270"/>
      <c r="H14" s="270"/>
      <c r="I14" s="270"/>
      <c r="J14" s="270"/>
      <c r="K14" s="270"/>
      <c r="L14" s="270"/>
      <c r="M14" s="270"/>
      <c r="N14" s="270"/>
    </row>
    <row r="15" spans="3:14" s="345" customFormat="1">
      <c r="D15" s="1600"/>
      <c r="E15" s="674"/>
      <c r="F15" s="675"/>
      <c r="G15" s="676"/>
      <c r="H15" s="675"/>
      <c r="I15" s="669"/>
      <c r="J15" s="33"/>
      <c r="K15" s="270"/>
      <c r="L15" s="270"/>
      <c r="M15" s="270"/>
      <c r="N15" s="270"/>
    </row>
    <row r="16" spans="3:14" s="345" customFormat="1">
      <c r="D16" s="1600"/>
      <c r="E16" s="677"/>
      <c r="F16" s="672"/>
      <c r="G16" s="673" t="s">
        <v>353</v>
      </c>
      <c r="H16" s="672"/>
      <c r="I16" s="670"/>
      <c r="J16" s="33"/>
      <c r="K16" s="270"/>
      <c r="L16" s="270"/>
      <c r="M16" s="270"/>
      <c r="N16" s="270"/>
    </row>
    <row r="17" spans="3:16" s="345" customFormat="1">
      <c r="D17" s="1600"/>
      <c r="E17" s="678"/>
      <c r="F17" s="679"/>
      <c r="G17" s="680"/>
      <c r="H17" s="679"/>
      <c r="I17" s="671"/>
      <c r="J17" s="33"/>
      <c r="K17" s="270"/>
      <c r="L17" s="270"/>
      <c r="M17" s="270"/>
      <c r="N17" s="270"/>
    </row>
    <row r="18" spans="3:16" s="345" customFormat="1">
      <c r="D18" s="395"/>
      <c r="E18" s="228"/>
      <c r="F18" s="228"/>
      <c r="G18" s="396"/>
      <c r="H18" s="228"/>
      <c r="I18" s="228"/>
      <c r="J18" s="80"/>
      <c r="K18" s="270"/>
      <c r="L18" s="270"/>
      <c r="M18" s="270"/>
      <c r="N18" s="270"/>
    </row>
    <row r="19" spans="3:16" s="345" customFormat="1">
      <c r="D19" s="1601"/>
      <c r="E19" s="398"/>
      <c r="F19" s="398"/>
      <c r="G19" s="399"/>
      <c r="H19" s="398"/>
      <c r="I19" s="398"/>
      <c r="J19" s="400"/>
      <c r="K19" s="270"/>
      <c r="L19" s="270"/>
      <c r="M19" s="270"/>
      <c r="N19" s="270"/>
    </row>
    <row r="20" spans="3:16" s="345" customFormat="1">
      <c r="D20" s="1602"/>
      <c r="E20" s="401"/>
      <c r="F20" s="401"/>
      <c r="G20" s="402" t="s">
        <v>368</v>
      </c>
      <c r="H20" s="401"/>
      <c r="I20" s="401"/>
      <c r="J20" s="403"/>
      <c r="K20" s="270"/>
      <c r="L20" s="270"/>
      <c r="M20" s="270"/>
      <c r="N20" s="270"/>
    </row>
    <row r="21" spans="3:16" s="345" customFormat="1">
      <c r="D21" s="1603"/>
      <c r="E21" s="404"/>
      <c r="F21" s="404"/>
      <c r="G21" s="404"/>
      <c r="H21" s="404"/>
      <c r="I21" s="404"/>
      <c r="J21" s="405"/>
      <c r="K21" s="270"/>
      <c r="L21" s="270"/>
      <c r="M21" s="270"/>
      <c r="N21" s="270"/>
    </row>
    <row r="22" spans="3:16" s="345" customFormat="1">
      <c r="E22" s="270"/>
      <c r="F22" s="270"/>
      <c r="G22" s="270"/>
      <c r="H22" s="270"/>
      <c r="I22" s="270"/>
      <c r="J22" s="270"/>
      <c r="K22" s="270"/>
      <c r="L22" s="270"/>
      <c r="M22" s="270"/>
      <c r="N22" s="270"/>
    </row>
    <row r="23" spans="3:16" s="345" customFormat="1" ht="13">
      <c r="C23" s="1658" t="str">
        <f>functions_used</f>
        <v>Spreadsheet functions used in this example</v>
      </c>
      <c r="D23" s="1659"/>
      <c r="E23" s="1659"/>
      <c r="F23" s="1659"/>
      <c r="G23" s="1659"/>
      <c r="H23" s="1659"/>
      <c r="I23" s="1659"/>
      <c r="J23" s="1659"/>
      <c r="K23" s="1659"/>
      <c r="L23" s="1659"/>
      <c r="M23" s="1659"/>
      <c r="N23" s="270"/>
    </row>
    <row r="24" spans="3:16" s="345" customFormat="1">
      <c r="C24" s="1653" t="str">
        <f>functions_sensitising_value</f>
        <v>ABS, AND, CHOOSE, Data Table, EOMONTH, IF, LARGE, MATCH, OFFSET, ROW, SUM, XNPV</v>
      </c>
      <c r="D24" s="1653"/>
      <c r="E24" s="1653"/>
      <c r="F24" s="1653"/>
      <c r="G24" s="1653"/>
      <c r="H24" s="1653"/>
      <c r="I24" s="1653"/>
      <c r="J24" s="1653"/>
      <c r="K24" s="1653"/>
      <c r="L24" s="1653"/>
      <c r="M24" s="1653"/>
      <c r="N24" s="270"/>
    </row>
    <row r="25" spans="3:16" s="345" customFormat="1">
      <c r="C25" s="1653"/>
      <c r="D25" s="1653"/>
      <c r="E25" s="1653"/>
      <c r="F25" s="1653"/>
      <c r="G25" s="1653"/>
      <c r="H25" s="1653"/>
      <c r="I25" s="1653"/>
      <c r="J25" s="1653"/>
      <c r="K25" s="1653"/>
      <c r="L25" s="1653"/>
      <c r="M25" s="1653"/>
      <c r="N25" s="270"/>
    </row>
    <row r="26" spans="3:16">
      <c r="C26" s="1651" t="s">
        <v>771</v>
      </c>
      <c r="D26" s="1652"/>
      <c r="E26" s="1652"/>
      <c r="F26" s="1652"/>
      <c r="G26" s="1652"/>
      <c r="H26" s="1652"/>
      <c r="I26" s="1652"/>
      <c r="J26" s="1652"/>
      <c r="K26" s="1652"/>
      <c r="L26" s="348"/>
      <c r="M26" s="348"/>
      <c r="N26" s="80"/>
    </row>
    <row r="27" spans="3:16" s="125" customFormat="1">
      <c r="C27" s="349"/>
      <c r="D27" s="349"/>
      <c r="E27" s="350"/>
      <c r="F27" s="351"/>
      <c r="G27" s="351"/>
      <c r="H27" s="351"/>
      <c r="I27" s="352"/>
      <c r="J27" s="351"/>
      <c r="K27" s="351"/>
      <c r="L27" s="351"/>
      <c r="M27" s="351"/>
      <c r="N27" s="80"/>
    </row>
    <row r="28" spans="3:16">
      <c r="C28" s="353" t="str">
        <f>Sensitising_Value_calcs!A8</f>
        <v>Annual sales growth</v>
      </c>
      <c r="D28" s="354">
        <v>0.1</v>
      </c>
      <c r="F28" s="355" t="str">
        <f>Sensitising_Value_calcs!A18</f>
        <v>Discount rate</v>
      </c>
      <c r="G28" s="356"/>
      <c r="H28" s="354">
        <v>0.18</v>
      </c>
      <c r="I28" s="357"/>
      <c r="J28" s="355" t="str">
        <f>Sensitising_Value_calcs!A14</f>
        <v>Interest rate on debt</v>
      </c>
      <c r="K28" s="358"/>
      <c r="L28" s="358"/>
      <c r="M28" s="354">
        <v>0.08</v>
      </c>
      <c r="N28" s="359"/>
    </row>
    <row r="29" spans="3:16">
      <c r="C29" s="353" t="str">
        <f>Sensitising_Value_calcs!A9</f>
        <v>Current assets / yearly sales</v>
      </c>
      <c r="D29" s="354">
        <v>0.12</v>
      </c>
      <c r="F29" s="355" t="str">
        <f>Sensitising_Value_calcs!A13</f>
        <v>Depreciation rate</v>
      </c>
      <c r="G29" s="356"/>
      <c r="H29" s="354">
        <v>0.15</v>
      </c>
      <c r="I29" s="360"/>
      <c r="J29" s="355" t="str">
        <f>Sensitising_Value_calcs!A15</f>
        <v>Interest earned on cash</v>
      </c>
      <c r="K29" s="358"/>
      <c r="L29" s="358"/>
      <c r="M29" s="354">
        <v>0.05</v>
      </c>
      <c r="N29" s="80"/>
    </row>
    <row r="30" spans="3:16">
      <c r="C30" s="353" t="str">
        <f>Sensitising_Value_calcs!A10</f>
        <v>Current liabilities / cost of goods sold</v>
      </c>
      <c r="D30" s="354">
        <v>0.06</v>
      </c>
      <c r="F30" s="355" t="str">
        <f>Sensitising_Value_calcs!A16</f>
        <v>Tax rate</v>
      </c>
      <c r="G30" s="358"/>
      <c r="H30" s="354">
        <v>0.33</v>
      </c>
      <c r="I30" s="357"/>
      <c r="J30" s="355" t="str">
        <f>Sensitising_Value_calcs!A12</f>
        <v>Cost of goods sold / sales</v>
      </c>
      <c r="K30" s="356"/>
      <c r="L30" s="356"/>
      <c r="M30" s="354">
        <v>0.55000000000000004</v>
      </c>
      <c r="N30" s="80"/>
    </row>
    <row r="31" spans="3:16">
      <c r="C31" s="353" t="str">
        <f>Sensitising_Value_calcs!A11</f>
        <v>Net fixed assets / yearly sales</v>
      </c>
      <c r="D31" s="354">
        <v>0.7</v>
      </c>
      <c r="F31" s="355" t="str">
        <f>Sensitising_Value_calcs!A17</f>
        <v>Dividend payout ratio</v>
      </c>
      <c r="G31" s="358"/>
      <c r="H31" s="354">
        <v>0.55000000000000004</v>
      </c>
      <c r="I31" s="357"/>
      <c r="J31" s="355" t="str">
        <f>Sensitising_Value_calcs!A19</f>
        <v>Terminal value multiple (TVM)</v>
      </c>
      <c r="K31" s="358"/>
      <c r="L31" s="358"/>
      <c r="M31" s="361">
        <v>12</v>
      </c>
      <c r="N31" s="80"/>
    </row>
    <row r="32" spans="3:16">
      <c r="F32" s="125"/>
      <c r="I32" s="80"/>
      <c r="K32" s="362"/>
      <c r="L32" s="362"/>
      <c r="M32" s="33"/>
      <c r="N32" s="80"/>
      <c r="P32" s="363"/>
    </row>
    <row r="33" spans="1:16" s="658" customFormat="1">
      <c r="A33" s="32"/>
      <c r="B33" s="664"/>
      <c r="C33" s="665"/>
      <c r="D33" s="665"/>
      <c r="E33" s="665"/>
      <c r="F33" s="1654" t="s">
        <v>452</v>
      </c>
      <c r="G33" s="1655"/>
      <c r="H33" s="665"/>
      <c r="I33" s="665"/>
      <c r="J33" s="665"/>
      <c r="K33" s="666"/>
      <c r="L33" s="666"/>
      <c r="M33" s="665"/>
      <c r="N33" s="667"/>
      <c r="P33" s="659"/>
    </row>
    <row r="34" spans="1:16" s="658" customFormat="1">
      <c r="A34" s="32"/>
      <c r="B34" s="180"/>
      <c r="C34" s="198" t="s">
        <v>353</v>
      </c>
      <c r="D34" s="660"/>
      <c r="E34" s="660"/>
      <c r="F34" s="660"/>
      <c r="G34" s="660"/>
      <c r="H34" s="660"/>
      <c r="I34" s="660"/>
      <c r="J34" s="660"/>
      <c r="K34" s="660"/>
      <c r="L34" s="660"/>
      <c r="M34" s="661"/>
      <c r="N34" s="181"/>
      <c r="P34" s="659"/>
    </row>
    <row r="35" spans="1:16" s="658" customFormat="1" ht="6" customHeight="1">
      <c r="A35" s="32"/>
      <c r="B35" s="180"/>
      <c r="C35" s="201"/>
      <c r="D35" s="89"/>
      <c r="E35" s="80"/>
      <c r="F35" s="240"/>
      <c r="G35" s="80"/>
      <c r="H35" s="80"/>
      <c r="I35" s="80"/>
      <c r="J35" s="80"/>
      <c r="K35" s="80"/>
      <c r="L35" s="80"/>
      <c r="M35" s="217"/>
      <c r="N35" s="181"/>
      <c r="P35" s="659"/>
    </row>
    <row r="36" spans="1:16" s="658" customFormat="1">
      <c r="A36" s="32"/>
      <c r="B36" s="180"/>
      <c r="C36" s="635" t="s">
        <v>1026</v>
      </c>
      <c r="D36" s="102"/>
      <c r="E36" s="102"/>
      <c r="F36" s="636">
        <v>5</v>
      </c>
      <c r="G36" s="80"/>
      <c r="H36" s="80"/>
      <c r="I36" s="80"/>
      <c r="J36" s="80"/>
      <c r="K36" s="80"/>
      <c r="L36" s="80"/>
      <c r="M36" s="217"/>
      <c r="N36" s="181"/>
      <c r="P36" s="659"/>
    </row>
    <row r="37" spans="1:16" s="658" customFormat="1" ht="6" customHeight="1">
      <c r="A37" s="125"/>
      <c r="B37" s="180"/>
      <c r="C37" s="215"/>
      <c r="D37" s="80"/>
      <c r="E37" s="364"/>
      <c r="F37" s="240"/>
      <c r="G37" s="80"/>
      <c r="H37" s="80"/>
      <c r="I37" s="80"/>
      <c r="J37" s="80"/>
      <c r="K37" s="80"/>
      <c r="L37" s="80"/>
      <c r="M37" s="217"/>
      <c r="N37" s="181"/>
      <c r="P37" s="659"/>
    </row>
    <row r="38" spans="1:16" s="658" customFormat="1">
      <c r="A38" s="125"/>
      <c r="B38" s="180"/>
      <c r="C38" s="215"/>
      <c r="D38" s="365"/>
      <c r="E38" s="80"/>
      <c r="F38" s="240"/>
      <c r="G38" s="80"/>
      <c r="H38" s="80"/>
      <c r="I38" s="80"/>
      <c r="J38" s="80"/>
      <c r="K38" s="80"/>
      <c r="L38" s="80"/>
      <c r="M38" s="217"/>
      <c r="N38" s="181"/>
      <c r="P38" s="659"/>
    </row>
    <row r="39" spans="1:16" s="658" customFormat="1">
      <c r="A39" s="125"/>
      <c r="B39" s="180"/>
      <c r="C39" s="215"/>
      <c r="D39" s="365"/>
      <c r="E39" s="80"/>
      <c r="F39" s="240"/>
      <c r="G39" s="80"/>
      <c r="H39" s="80"/>
      <c r="I39" s="80"/>
      <c r="J39" s="80"/>
      <c r="K39" s="80"/>
      <c r="L39" s="80"/>
      <c r="M39" s="217"/>
      <c r="N39" s="181"/>
      <c r="P39" s="659"/>
    </row>
    <row r="40" spans="1:16" s="658" customFormat="1">
      <c r="A40" s="125"/>
      <c r="B40" s="180"/>
      <c r="C40" s="215"/>
      <c r="D40" s="365"/>
      <c r="E40" s="80"/>
      <c r="F40" s="240"/>
      <c r="G40" s="80"/>
      <c r="H40" s="80"/>
      <c r="I40" s="80"/>
      <c r="J40" s="80"/>
      <c r="K40" s="80"/>
      <c r="L40" s="80"/>
      <c r="M40" s="217"/>
      <c r="N40" s="181"/>
      <c r="P40" s="659"/>
    </row>
    <row r="41" spans="1:16" s="658" customFormat="1">
      <c r="A41" s="125"/>
      <c r="B41" s="180"/>
      <c r="C41" s="215"/>
      <c r="D41" s="365"/>
      <c r="E41" s="80"/>
      <c r="F41" s="240"/>
      <c r="G41" s="80"/>
      <c r="H41" s="80"/>
      <c r="I41" s="80"/>
      <c r="J41" s="80"/>
      <c r="K41" s="80"/>
      <c r="L41" s="80"/>
      <c r="M41" s="217"/>
      <c r="N41" s="181"/>
      <c r="P41" s="659"/>
    </row>
    <row r="42" spans="1:16" s="658" customFormat="1">
      <c r="A42" s="125"/>
      <c r="B42" s="180"/>
      <c r="C42" s="215"/>
      <c r="D42" s="365"/>
      <c r="E42" s="80"/>
      <c r="F42" s="240"/>
      <c r="G42" s="80"/>
      <c r="H42" s="80"/>
      <c r="I42" s="80"/>
      <c r="J42" s="80"/>
      <c r="K42" s="80"/>
      <c r="L42" s="80"/>
      <c r="M42" s="217"/>
      <c r="N42" s="181"/>
      <c r="P42" s="659"/>
    </row>
    <row r="43" spans="1:16" s="658" customFormat="1">
      <c r="A43" s="125"/>
      <c r="B43" s="180"/>
      <c r="C43" s="215"/>
      <c r="D43" s="365"/>
      <c r="E43" s="80"/>
      <c r="F43" s="240"/>
      <c r="G43" s="80"/>
      <c r="H43" s="80"/>
      <c r="I43" s="80"/>
      <c r="J43" s="80"/>
      <c r="K43" s="80"/>
      <c r="L43" s="80"/>
      <c r="M43" s="217"/>
      <c r="N43" s="181"/>
      <c r="P43" s="659"/>
    </row>
    <row r="44" spans="1:16" s="658" customFormat="1">
      <c r="A44" s="125"/>
      <c r="B44" s="180"/>
      <c r="C44" s="215"/>
      <c r="D44" s="365"/>
      <c r="E44" s="80"/>
      <c r="F44" s="240"/>
      <c r="G44" s="80"/>
      <c r="H44" s="80"/>
      <c r="I44" s="80"/>
      <c r="J44" s="80"/>
      <c r="K44" s="80"/>
      <c r="L44" s="80"/>
      <c r="M44" s="217"/>
      <c r="N44" s="181"/>
      <c r="P44" s="659"/>
    </row>
    <row r="45" spans="1:16" s="658" customFormat="1">
      <c r="A45" s="125"/>
      <c r="B45" s="180"/>
      <c r="C45" s="215"/>
      <c r="D45" s="365"/>
      <c r="E45" s="80"/>
      <c r="F45" s="240"/>
      <c r="G45" s="80"/>
      <c r="H45" s="80"/>
      <c r="I45" s="80"/>
      <c r="J45" s="80"/>
      <c r="K45" s="80"/>
      <c r="L45" s="80"/>
      <c r="M45" s="217"/>
      <c r="N45" s="181"/>
      <c r="P45" s="659"/>
    </row>
    <row r="46" spans="1:16" s="658" customFormat="1">
      <c r="A46" s="125"/>
      <c r="B46" s="180"/>
      <c r="C46" s="215"/>
      <c r="D46" s="365"/>
      <c r="E46" s="80"/>
      <c r="F46" s="240"/>
      <c r="G46" s="80"/>
      <c r="H46" s="80"/>
      <c r="I46" s="80"/>
      <c r="J46" s="80"/>
      <c r="K46" s="80"/>
      <c r="L46" s="80"/>
      <c r="M46" s="217"/>
      <c r="N46" s="181"/>
      <c r="P46" s="659"/>
    </row>
    <row r="47" spans="1:16" s="658" customFormat="1">
      <c r="A47" s="125"/>
      <c r="B47" s="180"/>
      <c r="C47" s="215"/>
      <c r="D47" s="365"/>
      <c r="E47" s="80"/>
      <c r="F47" s="240"/>
      <c r="G47" s="80"/>
      <c r="H47" s="80"/>
      <c r="I47" s="80"/>
      <c r="J47" s="80"/>
      <c r="K47" s="80"/>
      <c r="L47" s="80"/>
      <c r="M47" s="217"/>
      <c r="N47" s="181"/>
      <c r="P47" s="659"/>
    </row>
    <row r="48" spans="1:16" s="658" customFormat="1">
      <c r="A48" s="125"/>
      <c r="B48" s="180"/>
      <c r="C48" s="215"/>
      <c r="D48" s="365"/>
      <c r="E48" s="80"/>
      <c r="F48" s="240"/>
      <c r="G48" s="80"/>
      <c r="H48" s="80"/>
      <c r="I48" s="80"/>
      <c r="J48" s="80"/>
      <c r="K48" s="80"/>
      <c r="L48" s="80"/>
      <c r="M48" s="217"/>
      <c r="N48" s="181"/>
      <c r="P48" s="659"/>
    </row>
    <row r="49" spans="1:17" s="658" customFormat="1">
      <c r="A49" s="125"/>
      <c r="B49" s="180"/>
      <c r="C49" s="215"/>
      <c r="D49" s="365"/>
      <c r="E49" s="80"/>
      <c r="F49" s="240"/>
      <c r="G49" s="80"/>
      <c r="H49" s="80"/>
      <c r="I49" s="80"/>
      <c r="J49" s="80"/>
      <c r="K49" s="80"/>
      <c r="L49" s="80"/>
      <c r="M49" s="217"/>
      <c r="N49" s="181"/>
      <c r="P49" s="659"/>
    </row>
    <row r="50" spans="1:17" s="658" customFormat="1">
      <c r="A50" s="125"/>
      <c r="B50" s="180"/>
      <c r="C50" s="215"/>
      <c r="D50" s="365"/>
      <c r="E50" s="80"/>
      <c r="F50" s="240"/>
      <c r="G50" s="80"/>
      <c r="H50" s="80"/>
      <c r="I50" s="80"/>
      <c r="J50" s="80"/>
      <c r="K50" s="80"/>
      <c r="L50" s="80"/>
      <c r="M50" s="217"/>
      <c r="N50" s="181"/>
      <c r="P50" s="659"/>
    </row>
    <row r="51" spans="1:17" s="658" customFormat="1">
      <c r="A51" s="125"/>
      <c r="B51" s="180"/>
      <c r="C51" s="215"/>
      <c r="D51" s="365"/>
      <c r="E51" s="80"/>
      <c r="F51" s="240"/>
      <c r="G51" s="80"/>
      <c r="H51" s="80"/>
      <c r="I51" s="80"/>
      <c r="J51" s="80"/>
      <c r="K51" s="80"/>
      <c r="L51" s="80"/>
      <c r="M51" s="217"/>
      <c r="N51" s="181"/>
      <c r="P51" s="659"/>
    </row>
    <row r="52" spans="1:17" s="658" customFormat="1">
      <c r="A52" s="125"/>
      <c r="B52" s="180"/>
      <c r="C52" s="215"/>
      <c r="D52" s="365"/>
      <c r="E52" s="80"/>
      <c r="F52" s="240"/>
      <c r="G52" s="80"/>
      <c r="H52" s="80"/>
      <c r="I52" s="80"/>
      <c r="J52" s="80"/>
      <c r="K52" s="80"/>
      <c r="L52" s="80"/>
      <c r="M52" s="217"/>
      <c r="N52" s="181"/>
      <c r="P52" s="659"/>
    </row>
    <row r="53" spans="1:17" s="658" customFormat="1">
      <c r="A53" s="125"/>
      <c r="B53" s="180"/>
      <c r="C53" s="628"/>
      <c r="D53" s="662"/>
      <c r="E53" s="222"/>
      <c r="F53" s="663"/>
      <c r="G53" s="222"/>
      <c r="H53" s="222"/>
      <c r="I53" s="222"/>
      <c r="J53" s="222"/>
      <c r="K53" s="222"/>
      <c r="L53" s="222"/>
      <c r="M53" s="223"/>
      <c r="N53" s="181"/>
      <c r="P53" s="659"/>
    </row>
    <row r="54" spans="1:17" s="658" customFormat="1">
      <c r="A54" s="32"/>
      <c r="B54" s="182"/>
      <c r="C54" s="183"/>
      <c r="D54" s="668"/>
      <c r="E54" s="183"/>
      <c r="F54" s="183"/>
      <c r="G54" s="183"/>
      <c r="H54" s="183"/>
      <c r="I54" s="183"/>
      <c r="J54" s="183"/>
      <c r="K54" s="183"/>
      <c r="L54" s="183"/>
      <c r="M54" s="183"/>
      <c r="N54" s="185"/>
      <c r="P54" s="659"/>
    </row>
    <row r="55" spans="1:17">
      <c r="D55" s="124"/>
      <c r="P55" s="363"/>
    </row>
    <row r="56" spans="1:17" hidden="1">
      <c r="C56" s="32" t="s">
        <v>1361</v>
      </c>
      <c r="D56" s="124">
        <v>1</v>
      </c>
      <c r="E56" s="124">
        <f>D56+1</f>
        <v>2</v>
      </c>
      <c r="F56" s="124">
        <f>E56+1</f>
        <v>3</v>
      </c>
      <c r="G56" s="124">
        <f>F56+1</f>
        <v>4</v>
      </c>
      <c r="H56" s="124">
        <f>G56+1</f>
        <v>5</v>
      </c>
      <c r="I56" s="366"/>
      <c r="J56" s="124">
        <f>H56+1</f>
        <v>6</v>
      </c>
      <c r="K56" s="124"/>
      <c r="L56" s="124">
        <f>J56+1</f>
        <v>7</v>
      </c>
      <c r="P56" s="363"/>
    </row>
    <row r="57" spans="1:17">
      <c r="B57" s="653"/>
      <c r="C57" s="188"/>
      <c r="D57" s="195"/>
      <c r="E57" s="195"/>
      <c r="F57" s="1656" t="s">
        <v>368</v>
      </c>
      <c r="G57" s="1657"/>
      <c r="H57" s="195"/>
      <c r="I57" s="195"/>
      <c r="J57" s="195"/>
      <c r="K57" s="195"/>
      <c r="L57" s="195"/>
      <c r="M57" s="188"/>
      <c r="N57" s="189"/>
      <c r="P57" s="363"/>
    </row>
    <row r="58" spans="1:17">
      <c r="B58" s="654"/>
      <c r="C58" s="637" t="s">
        <v>642</v>
      </c>
      <c r="D58" s="638"/>
      <c r="E58" s="638"/>
      <c r="F58" s="638"/>
      <c r="G58" s="638"/>
      <c r="H58" s="638"/>
      <c r="I58" s="638"/>
      <c r="J58" s="638"/>
      <c r="K58" s="638"/>
      <c r="L58" s="638"/>
      <c r="M58" s="639"/>
      <c r="N58" s="190"/>
      <c r="Q58" s="363"/>
    </row>
    <row r="59" spans="1:17" ht="13">
      <c r="B59" s="654"/>
      <c r="C59" s="640" t="s">
        <v>641</v>
      </c>
      <c r="D59" s="91">
        <v>40178</v>
      </c>
      <c r="E59" s="91">
        <v>40543</v>
      </c>
      <c r="F59" s="91">
        <v>40908</v>
      </c>
      <c r="G59" s="91">
        <v>41274</v>
      </c>
      <c r="H59" s="91">
        <v>41639</v>
      </c>
      <c r="I59" s="91">
        <v>42004</v>
      </c>
      <c r="J59" s="91">
        <v>42369</v>
      </c>
      <c r="K59" s="91">
        <v>42735</v>
      </c>
      <c r="L59" s="91">
        <v>43100</v>
      </c>
      <c r="M59" s="641">
        <v>43465</v>
      </c>
      <c r="N59" s="190"/>
      <c r="Q59" s="124"/>
    </row>
    <row r="60" spans="1:17">
      <c r="B60" s="654"/>
      <c r="C60" s="201" t="s">
        <v>643</v>
      </c>
      <c r="D60" s="35">
        <v>1000</v>
      </c>
      <c r="E60" s="35">
        <f>D60*(1+Sensitising_Value_calcs!$C$8)</f>
        <v>1100</v>
      </c>
      <c r="F60" s="35">
        <f>E60*(1+Sensitising_Value_calcs!$C$8)</f>
        <v>1210</v>
      </c>
      <c r="G60" s="35">
        <f>F60*(1+Sensitising_Value_calcs!$C$8)</f>
        <v>1331</v>
      </c>
      <c r="H60" s="35">
        <f>G60*(1+Sensitising_Value_calcs!$C$8)</f>
        <v>1464.1000000000001</v>
      </c>
      <c r="I60" s="35">
        <f>H60*(1+Sensitising_Value_calcs!$C$8)</f>
        <v>1610.5100000000002</v>
      </c>
      <c r="J60" s="35">
        <f>I60*(1+Sensitising_Value_calcs!$C$8)</f>
        <v>1771.5610000000004</v>
      </c>
      <c r="K60" s="35">
        <f>J60*(1+Sensitising_Value_calcs!$C$8)</f>
        <v>1948.7171000000005</v>
      </c>
      <c r="L60" s="35">
        <f>K60*(1+Sensitising_Value_calcs!$C$8)</f>
        <v>2143.5888100000006</v>
      </c>
      <c r="M60" s="213">
        <f>L60*(1+Sensitising_Value_calcs!$C$8)</f>
        <v>2357.9476910000008</v>
      </c>
      <c r="N60" s="190"/>
    </row>
    <row r="61" spans="1:17">
      <c r="B61" s="654"/>
      <c r="C61" s="201" t="s">
        <v>644</v>
      </c>
      <c r="D61" s="35">
        <f>-D60*Sensitising_Value_calcs!$C$12</f>
        <v>-550</v>
      </c>
      <c r="E61" s="35">
        <f>-E60*Sensitising_Value_calcs!$C$12</f>
        <v>-605</v>
      </c>
      <c r="F61" s="35">
        <f>-F60*Sensitising_Value_calcs!$C$12</f>
        <v>-665.5</v>
      </c>
      <c r="G61" s="35">
        <f>-G60*Sensitising_Value_calcs!$C$12</f>
        <v>-732.05000000000007</v>
      </c>
      <c r="H61" s="35">
        <f>-H60*Sensitising_Value_calcs!$C$12</f>
        <v>-805.25500000000011</v>
      </c>
      <c r="I61" s="35">
        <f>-I60*Sensitising_Value_calcs!$C$12</f>
        <v>-885.78050000000019</v>
      </c>
      <c r="J61" s="35">
        <f>-J60*Sensitising_Value_calcs!$C$12</f>
        <v>-974.35855000000026</v>
      </c>
      <c r="K61" s="35">
        <f>-K60*Sensitising_Value_calcs!$C$12</f>
        <v>-1071.7944050000003</v>
      </c>
      <c r="L61" s="35">
        <f>-L60*Sensitising_Value_calcs!$C$12</f>
        <v>-1178.9738455000004</v>
      </c>
      <c r="M61" s="213">
        <f>-M60*Sensitising_Value_calcs!$C$12</f>
        <v>-1296.8712300500006</v>
      </c>
      <c r="N61" s="190"/>
    </row>
    <row r="62" spans="1:17">
      <c r="B62" s="654"/>
      <c r="C62" s="201" t="s">
        <v>10</v>
      </c>
      <c r="D62" s="35">
        <f>-Sensitising_Value_calcs!$C$14*D81</f>
        <v>-25.6</v>
      </c>
      <c r="E62" s="35">
        <f>-Sensitising_Value_calcs!$C$14*D81</f>
        <v>-25.6</v>
      </c>
      <c r="F62" s="35">
        <f>-Sensitising_Value_calcs!$C$14*E81</f>
        <v>-25.6</v>
      </c>
      <c r="G62" s="35">
        <f>-Sensitising_Value_calcs!$C$14*F81</f>
        <v>-25.6</v>
      </c>
      <c r="H62" s="35">
        <f>-Sensitising_Value_calcs!$C$14*G81</f>
        <v>-25.6</v>
      </c>
      <c r="I62" s="35">
        <f>-Sensitising_Value_calcs!$C$14*H81</f>
        <v>-25.6</v>
      </c>
      <c r="J62" s="35">
        <f>-Sensitising_Value_calcs!$C$14*I81</f>
        <v>-25.6</v>
      </c>
      <c r="K62" s="35">
        <f>-Sensitising_Value_calcs!$C$14*J81</f>
        <v>-25.6</v>
      </c>
      <c r="L62" s="35">
        <f>-Sensitising_Value_calcs!$C$14*K81</f>
        <v>-25.6</v>
      </c>
      <c r="M62" s="213">
        <f>-Sensitising_Value_calcs!$C$14*L81</f>
        <v>-25.6</v>
      </c>
      <c r="N62" s="190"/>
    </row>
    <row r="63" spans="1:17">
      <c r="B63" s="654"/>
      <c r="C63" s="201" t="s">
        <v>798</v>
      </c>
      <c r="D63" s="35">
        <v>6</v>
      </c>
      <c r="E63" s="35">
        <f>Sensitising_Value_calcs!$C$15*D72</f>
        <v>1.6</v>
      </c>
      <c r="F63" s="35">
        <f>Sensitising_Value_calcs!$C$15*E72</f>
        <v>8.0741624999999999</v>
      </c>
      <c r="G63" s="35">
        <f>Sensitising_Value_calcs!$C$15*F72</f>
        <v>9.9486354996874979</v>
      </c>
      <c r="H63" s="35">
        <f>Sensitising_Value_calcs!$C$15*G72</f>
        <v>12.065233679845283</v>
      </c>
      <c r="I63" s="35">
        <f>Sensitising_Value_calcs!$C$15*H72</f>
        <v>14.448993827568939</v>
      </c>
      <c r="J63" s="35">
        <f>Sensitising_Value_calcs!$C$15*I72</f>
        <v>17.127468834519558</v>
      </c>
      <c r="K63" s="35">
        <f>Sensitising_Value_calcs!$C$15*J72</f>
        <v>20.130979494699943</v>
      </c>
      <c r="L63" s="35">
        <f>Sensitising_Value_calcs!$C$15*K72</f>
        <v>23.49289148483253</v>
      </c>
      <c r="M63" s="213">
        <f>Sensitising_Value_calcs!$C$15*L72</f>
        <v>27.249920045641389</v>
      </c>
      <c r="N63" s="190"/>
    </row>
    <row r="64" spans="1:17">
      <c r="B64" s="654"/>
      <c r="C64" s="201" t="s">
        <v>795</v>
      </c>
      <c r="D64" s="35">
        <v>-100</v>
      </c>
      <c r="E64" s="35">
        <f>-Sensitising_Value_calcs!$C$13*D77</f>
        <v>-115.5</v>
      </c>
      <c r="F64" s="35">
        <f>-Sensitising_Value_calcs!$C$13*E77</f>
        <v>-115.5</v>
      </c>
      <c r="G64" s="35">
        <f>-Sensitising_Value_calcs!$C$13*F77</f>
        <v>-127.05</v>
      </c>
      <c r="H64" s="35">
        <f>-Sensitising_Value_calcs!$C$13*G77</f>
        <v>-139.755</v>
      </c>
      <c r="I64" s="35">
        <f>-Sensitising_Value_calcs!$C$13*H77</f>
        <v>-153.73050000000001</v>
      </c>
      <c r="J64" s="35">
        <f>-Sensitising_Value_calcs!$C$13*I77</f>
        <v>-169.10354999999998</v>
      </c>
      <c r="K64" s="35">
        <f>-Sensitising_Value_calcs!$C$13*J77</f>
        <v>-186.01390500000002</v>
      </c>
      <c r="L64" s="35">
        <f>-Sensitising_Value_calcs!$C$13*K77</f>
        <v>-204.61529550000006</v>
      </c>
      <c r="M64" s="213">
        <f>-Sensitising_Value_calcs!$C$13*L77</f>
        <v>-225.07682505000005</v>
      </c>
      <c r="N64" s="190"/>
    </row>
    <row r="65" spans="2:14">
      <c r="B65" s="654"/>
      <c r="C65" s="201" t="s">
        <v>1297</v>
      </c>
      <c r="D65" s="35">
        <f t="shared" ref="D65:M65" si="0">SUM(D60:D64)</f>
        <v>330.4</v>
      </c>
      <c r="E65" s="35">
        <f t="shared" si="0"/>
        <v>355.5</v>
      </c>
      <c r="F65" s="35">
        <f t="shared" si="0"/>
        <v>411.47416249999992</v>
      </c>
      <c r="G65" s="35">
        <f t="shared" si="0"/>
        <v>456.2486354996874</v>
      </c>
      <c r="H65" s="35">
        <f t="shared" si="0"/>
        <v>505.55523367984529</v>
      </c>
      <c r="I65" s="35">
        <f t="shared" si="0"/>
        <v>559.84799382756898</v>
      </c>
      <c r="J65" s="35">
        <f t="shared" si="0"/>
        <v>619.62636883451955</v>
      </c>
      <c r="K65" s="35">
        <f t="shared" si="0"/>
        <v>685.43976949470016</v>
      </c>
      <c r="L65" s="35">
        <f t="shared" si="0"/>
        <v>757.89256048483276</v>
      </c>
      <c r="M65" s="213">
        <f t="shared" si="0"/>
        <v>837.64955594564162</v>
      </c>
      <c r="N65" s="190"/>
    </row>
    <row r="66" spans="2:14">
      <c r="B66" s="654"/>
      <c r="C66" s="201" t="s">
        <v>1298</v>
      </c>
      <c r="D66" s="35">
        <f>-Sensitising_Value_calcs!$C$16*D65</f>
        <v>-109.032</v>
      </c>
      <c r="E66" s="35">
        <f>-Sensitising_Value_calcs!$C$16*E65</f>
        <v>-117.31500000000001</v>
      </c>
      <c r="F66" s="35">
        <f>-Sensitising_Value_calcs!$C$16*F65</f>
        <v>-135.78647362499999</v>
      </c>
      <c r="G66" s="35">
        <f>-Sensitising_Value_calcs!$C$16*G65</f>
        <v>-150.56204971489686</v>
      </c>
      <c r="H66" s="35">
        <f>-Sensitising_Value_calcs!$C$16*H65</f>
        <v>-166.83322711434894</v>
      </c>
      <c r="I66" s="35">
        <f>-Sensitising_Value_calcs!$C$16*I65</f>
        <v>-184.74983796309778</v>
      </c>
      <c r="J66" s="35">
        <f>-Sensitising_Value_calcs!$C$16*J65</f>
        <v>-204.47670171539147</v>
      </c>
      <c r="K66" s="35">
        <f>-Sensitising_Value_calcs!$C$16*K65</f>
        <v>-226.19512393325107</v>
      </c>
      <c r="L66" s="35">
        <f>-Sensitising_Value_calcs!$C$16*L65</f>
        <v>-250.10454495999483</v>
      </c>
      <c r="M66" s="213">
        <f>-Sensitising_Value_calcs!$C$16*M65</f>
        <v>-276.42435346206173</v>
      </c>
      <c r="N66" s="190"/>
    </row>
    <row r="67" spans="2:14">
      <c r="B67" s="654"/>
      <c r="C67" s="201" t="s">
        <v>1299</v>
      </c>
      <c r="D67" s="35">
        <f t="shared" ref="D67:M67" si="1">SUM(D65:D66)</f>
        <v>221.36799999999999</v>
      </c>
      <c r="E67" s="35">
        <f t="shared" si="1"/>
        <v>238.185</v>
      </c>
      <c r="F67" s="35">
        <f t="shared" si="1"/>
        <v>275.68768887499994</v>
      </c>
      <c r="G67" s="35">
        <f t="shared" si="1"/>
        <v>305.68658578479051</v>
      </c>
      <c r="H67" s="35">
        <f t="shared" si="1"/>
        <v>338.72200656549637</v>
      </c>
      <c r="I67" s="35">
        <f t="shared" si="1"/>
        <v>375.09815586447121</v>
      </c>
      <c r="J67" s="35">
        <f t="shared" si="1"/>
        <v>415.14966711912808</v>
      </c>
      <c r="K67" s="35">
        <f t="shared" si="1"/>
        <v>459.24464556144909</v>
      </c>
      <c r="L67" s="35">
        <f t="shared" si="1"/>
        <v>507.78801552483793</v>
      </c>
      <c r="M67" s="213">
        <f t="shared" si="1"/>
        <v>561.22520248357989</v>
      </c>
      <c r="N67" s="190"/>
    </row>
    <row r="68" spans="2:14">
      <c r="B68" s="654"/>
      <c r="C68" s="201" t="s">
        <v>1300</v>
      </c>
      <c r="D68" s="35">
        <f>-Sensitising_Value_calcs!$C$17*D67</f>
        <v>-121.75240000000001</v>
      </c>
      <c r="E68" s="35">
        <f>-Sensitising_Value_calcs!$C$17*E67</f>
        <v>-131.00175000000002</v>
      </c>
      <c r="F68" s="35">
        <f>-Sensitising_Value_calcs!$C$17*F67</f>
        <v>-151.62822888124998</v>
      </c>
      <c r="G68" s="35">
        <f>-Sensitising_Value_calcs!$C$17*G67</f>
        <v>-168.12762218163479</v>
      </c>
      <c r="H68" s="35">
        <f>-Sensitising_Value_calcs!$C$17*H67</f>
        <v>-186.29710361102303</v>
      </c>
      <c r="I68" s="35">
        <f>-Sensitising_Value_calcs!$C$17*I67</f>
        <v>-206.30398572545917</v>
      </c>
      <c r="J68" s="35">
        <f>-Sensitising_Value_calcs!$C$17*J67</f>
        <v>-228.33231691552047</v>
      </c>
      <c r="K68" s="35">
        <f>-Sensitising_Value_calcs!$C$17*K67</f>
        <v>-252.58455505879701</v>
      </c>
      <c r="L68" s="35">
        <f>-Sensitising_Value_calcs!$C$17*L67</f>
        <v>-279.28340853866086</v>
      </c>
      <c r="M68" s="213">
        <f>-Sensitising_Value_calcs!$C$17*M67</f>
        <v>-308.67386136596895</v>
      </c>
      <c r="N68" s="190"/>
    </row>
    <row r="69" spans="2:14">
      <c r="B69" s="654"/>
      <c r="C69" s="201" t="s">
        <v>1301</v>
      </c>
      <c r="D69" s="35">
        <f t="shared" ref="D69:M69" si="2">SUM(D67:D68)</f>
        <v>99.615599999999986</v>
      </c>
      <c r="E69" s="35">
        <f t="shared" si="2"/>
        <v>107.18324999999999</v>
      </c>
      <c r="F69" s="35">
        <f t="shared" si="2"/>
        <v>124.05945999374995</v>
      </c>
      <c r="G69" s="35">
        <f t="shared" si="2"/>
        <v>137.55896360315572</v>
      </c>
      <c r="H69" s="35">
        <f t="shared" si="2"/>
        <v>152.42490295447334</v>
      </c>
      <c r="I69" s="35">
        <f t="shared" si="2"/>
        <v>168.79417013901204</v>
      </c>
      <c r="J69" s="35">
        <f t="shared" si="2"/>
        <v>186.81735020360762</v>
      </c>
      <c r="K69" s="35">
        <f t="shared" si="2"/>
        <v>206.66009050265208</v>
      </c>
      <c r="L69" s="35">
        <f t="shared" si="2"/>
        <v>228.50460698617707</v>
      </c>
      <c r="M69" s="213">
        <f t="shared" si="2"/>
        <v>252.55134111761095</v>
      </c>
      <c r="N69" s="190"/>
    </row>
    <row r="70" spans="2:14">
      <c r="B70" s="654"/>
      <c r="C70" s="201"/>
      <c r="D70" s="81"/>
      <c r="E70" s="92"/>
      <c r="F70" s="92"/>
      <c r="G70" s="92"/>
      <c r="H70" s="92"/>
      <c r="I70" s="92"/>
      <c r="J70" s="92"/>
      <c r="K70" s="92"/>
      <c r="L70" s="92"/>
      <c r="M70" s="642"/>
      <c r="N70" s="190"/>
    </row>
    <row r="71" spans="2:14">
      <c r="B71" s="654"/>
      <c r="C71" s="643" t="s">
        <v>1302</v>
      </c>
      <c r="D71" s="644"/>
      <c r="E71" s="644"/>
      <c r="F71" s="644"/>
      <c r="G71" s="644"/>
      <c r="H71" s="644"/>
      <c r="I71" s="644"/>
      <c r="J71" s="644"/>
      <c r="K71" s="644"/>
      <c r="L71" s="644"/>
      <c r="M71" s="645"/>
      <c r="N71" s="190"/>
    </row>
    <row r="72" spans="2:14">
      <c r="B72" s="654"/>
      <c r="C72" s="201" t="s">
        <v>1303</v>
      </c>
      <c r="D72" s="35">
        <v>32</v>
      </c>
      <c r="E72" s="126">
        <f t="shared" ref="E72:M72" si="3">D72+E103</f>
        <v>161.48325</v>
      </c>
      <c r="F72" s="35">
        <f t="shared" si="3"/>
        <v>198.97270999374996</v>
      </c>
      <c r="G72" s="35">
        <f t="shared" si="3"/>
        <v>241.30467359690564</v>
      </c>
      <c r="H72" s="35">
        <f t="shared" si="3"/>
        <v>288.97987655137877</v>
      </c>
      <c r="I72" s="35">
        <f t="shared" si="3"/>
        <v>342.54937669039111</v>
      </c>
      <c r="J72" s="35">
        <f t="shared" si="3"/>
        <v>402.61958989399886</v>
      </c>
      <c r="K72" s="35">
        <f t="shared" si="3"/>
        <v>469.85782969665058</v>
      </c>
      <c r="L72" s="35">
        <f t="shared" si="3"/>
        <v>544.99840091282772</v>
      </c>
      <c r="M72" s="213">
        <f t="shared" si="3"/>
        <v>628.84930268343851</v>
      </c>
      <c r="N72" s="190"/>
    </row>
    <row r="73" spans="2:14">
      <c r="B73" s="654"/>
      <c r="C73" s="201" t="s">
        <v>1304</v>
      </c>
      <c r="D73" s="35">
        <v>150</v>
      </c>
      <c r="E73" s="126">
        <f>Sensitising_Value_calcs!$C$9*E60</f>
        <v>132</v>
      </c>
      <c r="F73" s="35">
        <f>Sensitising_Value_calcs!$C$9*F60</f>
        <v>145.19999999999999</v>
      </c>
      <c r="G73" s="35">
        <f>Sensitising_Value_calcs!$C$9*G60</f>
        <v>159.72</v>
      </c>
      <c r="H73" s="35">
        <f>Sensitising_Value_calcs!$C$9*H60</f>
        <v>175.69200000000001</v>
      </c>
      <c r="I73" s="35">
        <f>Sensitising_Value_calcs!$C$9*I60</f>
        <v>193.26120000000003</v>
      </c>
      <c r="J73" s="35">
        <f>Sensitising_Value_calcs!$C$9*J60</f>
        <v>212.58732000000003</v>
      </c>
      <c r="K73" s="35">
        <f>Sensitising_Value_calcs!$C$9*K60</f>
        <v>233.84605200000004</v>
      </c>
      <c r="L73" s="35">
        <f>Sensitising_Value_calcs!$C$9*L60</f>
        <v>257.23065720000005</v>
      </c>
      <c r="M73" s="213">
        <f>Sensitising_Value_calcs!$C$9*M60</f>
        <v>282.95372292000008</v>
      </c>
      <c r="N73" s="190"/>
    </row>
    <row r="74" spans="2:14">
      <c r="B74" s="654"/>
      <c r="C74" s="215" t="s">
        <v>1305</v>
      </c>
      <c r="D74" s="81"/>
      <c r="E74" s="92"/>
      <c r="F74" s="92"/>
      <c r="G74" s="92"/>
      <c r="H74" s="92"/>
      <c r="I74" s="92"/>
      <c r="J74" s="92"/>
      <c r="K74" s="92"/>
      <c r="L74" s="92"/>
      <c r="M74" s="642"/>
      <c r="N74" s="190"/>
    </row>
    <row r="75" spans="2:14">
      <c r="B75" s="654"/>
      <c r="C75" s="215" t="s">
        <v>1306</v>
      </c>
      <c r="D75" s="35">
        <v>1070</v>
      </c>
      <c r="E75" s="126">
        <f t="shared" ref="E75:M75" si="4">E77-E76</f>
        <v>1185.5</v>
      </c>
      <c r="F75" s="35">
        <f t="shared" si="4"/>
        <v>1378</v>
      </c>
      <c r="G75" s="35">
        <f t="shared" si="4"/>
        <v>1589.75</v>
      </c>
      <c r="H75" s="35">
        <f t="shared" si="4"/>
        <v>1822.6750000000002</v>
      </c>
      <c r="I75" s="35">
        <f t="shared" si="4"/>
        <v>2078.8924999999999</v>
      </c>
      <c r="J75" s="35">
        <f t="shared" si="4"/>
        <v>2360.7317499999999</v>
      </c>
      <c r="K75" s="35">
        <f t="shared" si="4"/>
        <v>2670.7549250000002</v>
      </c>
      <c r="L75" s="35">
        <f t="shared" si="4"/>
        <v>3011.7804175000001</v>
      </c>
      <c r="M75" s="213">
        <f t="shared" si="4"/>
        <v>3386.9084592500003</v>
      </c>
      <c r="N75" s="190"/>
    </row>
    <row r="76" spans="2:14">
      <c r="B76" s="654"/>
      <c r="C76" s="215" t="s">
        <v>1307</v>
      </c>
      <c r="D76" s="35">
        <v>-300</v>
      </c>
      <c r="E76" s="126">
        <f>D76-Sensitising_Value_calcs!$C$13*D77</f>
        <v>-415.5</v>
      </c>
      <c r="F76" s="35">
        <f>E76-Sensitising_Value_calcs!$C$13*E77</f>
        <v>-531</v>
      </c>
      <c r="G76" s="35">
        <f>F76-Sensitising_Value_calcs!$C$13*F77</f>
        <v>-658.05</v>
      </c>
      <c r="H76" s="35">
        <f>G76-Sensitising_Value_calcs!$C$13*G77</f>
        <v>-797.80499999999995</v>
      </c>
      <c r="I76" s="35">
        <f>H76-Sensitising_Value_calcs!$C$13*H77</f>
        <v>-951.53549999999996</v>
      </c>
      <c r="J76" s="35">
        <f>I76-Sensitising_Value_calcs!$C$13*I77</f>
        <v>-1120.63905</v>
      </c>
      <c r="K76" s="35">
        <f>J76-Sensitising_Value_calcs!$C$13*J77</f>
        <v>-1306.652955</v>
      </c>
      <c r="L76" s="35">
        <f>K76-Sensitising_Value_calcs!$C$13*K77</f>
        <v>-1511.2682505</v>
      </c>
      <c r="M76" s="213">
        <f>L76-Sensitising_Value_calcs!$C$13*L77</f>
        <v>-1736.34507555</v>
      </c>
      <c r="N76" s="190"/>
    </row>
    <row r="77" spans="2:14">
      <c r="B77" s="654"/>
      <c r="C77" s="215" t="s">
        <v>1308</v>
      </c>
      <c r="D77" s="35">
        <f>SUM(D75:D76)</f>
        <v>770</v>
      </c>
      <c r="E77" s="126">
        <f>Sensitising_Value_calcs!$C$11*E60</f>
        <v>770</v>
      </c>
      <c r="F77" s="35">
        <f>Sensitising_Value_calcs!$C$11*F60</f>
        <v>847</v>
      </c>
      <c r="G77" s="35">
        <f>Sensitising_Value_calcs!$C$11*G60</f>
        <v>931.69999999999993</v>
      </c>
      <c r="H77" s="35">
        <f>Sensitising_Value_calcs!$C$11*H60</f>
        <v>1024.8700000000001</v>
      </c>
      <c r="I77" s="35">
        <f>Sensitising_Value_calcs!$C$11*I60</f>
        <v>1127.357</v>
      </c>
      <c r="J77" s="35">
        <f>Sensitising_Value_calcs!$C$11*J60</f>
        <v>1240.0927000000001</v>
      </c>
      <c r="K77" s="35">
        <f>Sensitising_Value_calcs!$C$11*K60</f>
        <v>1364.1019700000004</v>
      </c>
      <c r="L77" s="35">
        <f>Sensitising_Value_calcs!$C$11*L60</f>
        <v>1500.5121670000003</v>
      </c>
      <c r="M77" s="213">
        <f>Sensitising_Value_calcs!$C$11*M60</f>
        <v>1650.5633837000005</v>
      </c>
      <c r="N77" s="190"/>
    </row>
    <row r="78" spans="2:14">
      <c r="B78" s="654"/>
      <c r="C78" s="215" t="s">
        <v>1309</v>
      </c>
      <c r="D78" s="35">
        <f t="shared" ref="D78:M78" si="5">SUM(D72,D73,D77)</f>
        <v>952</v>
      </c>
      <c r="E78" s="126">
        <f t="shared" si="5"/>
        <v>1063.48325</v>
      </c>
      <c r="F78" s="35">
        <f t="shared" si="5"/>
        <v>1191.17270999375</v>
      </c>
      <c r="G78" s="35">
        <f t="shared" si="5"/>
        <v>1332.7246735969056</v>
      </c>
      <c r="H78" s="35">
        <f t="shared" si="5"/>
        <v>1489.5418765513789</v>
      </c>
      <c r="I78" s="35">
        <f t="shared" si="5"/>
        <v>1663.1675766903911</v>
      </c>
      <c r="J78" s="35">
        <f t="shared" si="5"/>
        <v>1855.2996098939991</v>
      </c>
      <c r="K78" s="35">
        <f t="shared" si="5"/>
        <v>2067.8058516966512</v>
      </c>
      <c r="L78" s="35">
        <f t="shared" si="5"/>
        <v>2302.741225112828</v>
      </c>
      <c r="M78" s="213">
        <f t="shared" si="5"/>
        <v>2562.366409303439</v>
      </c>
      <c r="N78" s="190"/>
    </row>
    <row r="79" spans="2:14">
      <c r="B79" s="654"/>
      <c r="C79" s="201"/>
      <c r="D79" s="81"/>
      <c r="E79" s="81"/>
      <c r="F79" s="81"/>
      <c r="G79" s="81"/>
      <c r="H79" s="81"/>
      <c r="I79" s="81"/>
      <c r="J79" s="81"/>
      <c r="K79" s="81"/>
      <c r="L79" s="81"/>
      <c r="M79" s="214"/>
      <c r="N79" s="190"/>
    </row>
    <row r="80" spans="2:14">
      <c r="B80" s="654"/>
      <c r="C80" s="201" t="s">
        <v>1310</v>
      </c>
      <c r="D80" s="35">
        <v>32</v>
      </c>
      <c r="E80" s="126">
        <f>-Sensitising_Value_calcs!$C$10*E61</f>
        <v>36.299999999999997</v>
      </c>
      <c r="F80" s="35">
        <f>-Sensitising_Value_calcs!$C$10*F61</f>
        <v>39.93</v>
      </c>
      <c r="G80" s="35">
        <f>-Sensitising_Value_calcs!$C$10*G61</f>
        <v>43.923000000000002</v>
      </c>
      <c r="H80" s="35">
        <f>-Sensitising_Value_calcs!$C$10*H61</f>
        <v>48.315300000000008</v>
      </c>
      <c r="I80" s="35">
        <f>-Sensitising_Value_calcs!$C$10*I61</f>
        <v>53.146830000000008</v>
      </c>
      <c r="J80" s="35">
        <f>-Sensitising_Value_calcs!$C$10*J61</f>
        <v>58.461513000000011</v>
      </c>
      <c r="K80" s="35">
        <f>-Sensitising_Value_calcs!$C$10*K61</f>
        <v>64.307664300000013</v>
      </c>
      <c r="L80" s="35">
        <f>-Sensitising_Value_calcs!$C$10*L61</f>
        <v>70.738430730000019</v>
      </c>
      <c r="M80" s="213">
        <f>-Sensitising_Value_calcs!$C$10*M61</f>
        <v>77.812273803000025</v>
      </c>
      <c r="N80" s="190"/>
    </row>
    <row r="81" spans="2:14">
      <c r="B81" s="654"/>
      <c r="C81" s="201" t="s">
        <v>1311</v>
      </c>
      <c r="D81" s="35">
        <v>320</v>
      </c>
      <c r="E81" s="126">
        <f>D81</f>
        <v>320</v>
      </c>
      <c r="F81" s="35">
        <f t="shared" ref="F81:H82" si="6">E81</f>
        <v>320</v>
      </c>
      <c r="G81" s="35">
        <f t="shared" si="6"/>
        <v>320</v>
      </c>
      <c r="H81" s="35">
        <f t="shared" si="6"/>
        <v>320</v>
      </c>
      <c r="I81" s="35">
        <f t="shared" ref="I81:M82" si="7">H81</f>
        <v>320</v>
      </c>
      <c r="J81" s="35">
        <f t="shared" si="7"/>
        <v>320</v>
      </c>
      <c r="K81" s="35">
        <f t="shared" si="7"/>
        <v>320</v>
      </c>
      <c r="L81" s="35">
        <f t="shared" si="7"/>
        <v>320</v>
      </c>
      <c r="M81" s="213">
        <f t="shared" si="7"/>
        <v>320</v>
      </c>
      <c r="N81" s="190"/>
    </row>
    <row r="82" spans="2:14">
      <c r="B82" s="654"/>
      <c r="C82" s="201" t="s">
        <v>1312</v>
      </c>
      <c r="D82" s="35">
        <v>450</v>
      </c>
      <c r="E82" s="126">
        <f>D82</f>
        <v>450</v>
      </c>
      <c r="F82" s="35">
        <f t="shared" si="6"/>
        <v>450</v>
      </c>
      <c r="G82" s="35">
        <f t="shared" si="6"/>
        <v>450</v>
      </c>
      <c r="H82" s="35">
        <f t="shared" si="6"/>
        <v>450</v>
      </c>
      <c r="I82" s="35">
        <f t="shared" si="7"/>
        <v>450</v>
      </c>
      <c r="J82" s="35">
        <f t="shared" si="7"/>
        <v>450</v>
      </c>
      <c r="K82" s="35">
        <f t="shared" si="7"/>
        <v>450</v>
      </c>
      <c r="L82" s="35">
        <f t="shared" si="7"/>
        <v>450</v>
      </c>
      <c r="M82" s="213">
        <f t="shared" si="7"/>
        <v>450</v>
      </c>
      <c r="N82" s="190"/>
    </row>
    <row r="83" spans="2:14">
      <c r="B83" s="654"/>
      <c r="C83" s="201" t="s">
        <v>1313</v>
      </c>
      <c r="D83" s="35">
        <v>150</v>
      </c>
      <c r="E83" s="126">
        <f t="shared" ref="E83:M83" si="8">D83+E69</f>
        <v>257.18324999999999</v>
      </c>
      <c r="F83" s="35">
        <f t="shared" si="8"/>
        <v>381.24270999374994</v>
      </c>
      <c r="G83" s="35">
        <f t="shared" si="8"/>
        <v>518.80167359690563</v>
      </c>
      <c r="H83" s="35">
        <f t="shared" si="8"/>
        <v>671.22657655137891</v>
      </c>
      <c r="I83" s="35">
        <f t="shared" si="8"/>
        <v>840.02074669039098</v>
      </c>
      <c r="J83" s="35">
        <f t="shared" si="8"/>
        <v>1026.8380968939987</v>
      </c>
      <c r="K83" s="35">
        <f t="shared" si="8"/>
        <v>1233.4981873966508</v>
      </c>
      <c r="L83" s="35">
        <f t="shared" si="8"/>
        <v>1462.0027943828279</v>
      </c>
      <c r="M83" s="213">
        <f t="shared" si="8"/>
        <v>1714.5541355004389</v>
      </c>
      <c r="N83" s="190"/>
    </row>
    <row r="84" spans="2:14">
      <c r="B84" s="654"/>
      <c r="C84" s="201" t="s">
        <v>1314</v>
      </c>
      <c r="D84" s="35">
        <f t="shared" ref="D84:M84" si="9">SUM(D80:D83)</f>
        <v>952</v>
      </c>
      <c r="E84" s="126">
        <f t="shared" si="9"/>
        <v>1063.48325</v>
      </c>
      <c r="F84" s="35">
        <f t="shared" si="9"/>
        <v>1191.17270999375</v>
      </c>
      <c r="G84" s="35">
        <f t="shared" si="9"/>
        <v>1332.7246735969056</v>
      </c>
      <c r="H84" s="35">
        <f t="shared" si="9"/>
        <v>1489.5418765513789</v>
      </c>
      <c r="I84" s="35">
        <f t="shared" si="9"/>
        <v>1663.1675766903909</v>
      </c>
      <c r="J84" s="35">
        <f t="shared" si="9"/>
        <v>1855.2996098939986</v>
      </c>
      <c r="K84" s="35">
        <f t="shared" si="9"/>
        <v>2067.8058516966507</v>
      </c>
      <c r="L84" s="35">
        <f t="shared" si="9"/>
        <v>2302.741225112828</v>
      </c>
      <c r="M84" s="213">
        <f t="shared" si="9"/>
        <v>2562.366409303439</v>
      </c>
      <c r="N84" s="190"/>
    </row>
    <row r="85" spans="2:14">
      <c r="B85" s="654"/>
      <c r="C85" s="201"/>
      <c r="D85" s="92"/>
      <c r="E85" s="92"/>
      <c r="F85" s="92"/>
      <c r="G85" s="92"/>
      <c r="H85" s="92"/>
      <c r="I85" s="92"/>
      <c r="J85" s="92"/>
      <c r="K85" s="92"/>
      <c r="L85" s="92"/>
      <c r="M85" s="642"/>
      <c r="N85" s="190"/>
    </row>
    <row r="86" spans="2:14">
      <c r="B86" s="654"/>
      <c r="C86" s="643" t="s">
        <v>1315</v>
      </c>
      <c r="D86" s="644"/>
      <c r="E86" s="644"/>
      <c r="F86" s="644"/>
      <c r="G86" s="644"/>
      <c r="H86" s="644"/>
      <c r="I86" s="644"/>
      <c r="J86" s="644"/>
      <c r="K86" s="644"/>
      <c r="L86" s="644"/>
      <c r="M86" s="645"/>
      <c r="N86" s="190"/>
    </row>
    <row r="87" spans="2:14" ht="13">
      <c r="B87" s="654"/>
      <c r="C87" s="216" t="s">
        <v>1316</v>
      </c>
      <c r="D87" s="92"/>
      <c r="E87" s="92"/>
      <c r="F87" s="92"/>
      <c r="G87" s="92"/>
      <c r="H87" s="92"/>
      <c r="I87" s="92"/>
      <c r="J87" s="92"/>
      <c r="K87" s="92"/>
      <c r="L87" s="92"/>
      <c r="M87" s="642"/>
      <c r="N87" s="190"/>
    </row>
    <row r="88" spans="2:14">
      <c r="B88" s="654"/>
      <c r="C88" s="201" t="s">
        <v>1299</v>
      </c>
      <c r="D88" s="93"/>
      <c r="E88" s="35">
        <f t="shared" ref="E88:M88" si="10">E67</f>
        <v>238.185</v>
      </c>
      <c r="F88" s="35">
        <f t="shared" si="10"/>
        <v>275.68768887499994</v>
      </c>
      <c r="G88" s="35">
        <f t="shared" si="10"/>
        <v>305.68658578479051</v>
      </c>
      <c r="H88" s="35">
        <f t="shared" si="10"/>
        <v>338.72200656549637</v>
      </c>
      <c r="I88" s="35">
        <f t="shared" si="10"/>
        <v>375.09815586447121</v>
      </c>
      <c r="J88" s="35">
        <f t="shared" si="10"/>
        <v>415.14966711912808</v>
      </c>
      <c r="K88" s="35">
        <f t="shared" si="10"/>
        <v>459.24464556144909</v>
      </c>
      <c r="L88" s="35">
        <f t="shared" si="10"/>
        <v>507.78801552483793</v>
      </c>
      <c r="M88" s="213">
        <f t="shared" si="10"/>
        <v>561.22520248357989</v>
      </c>
      <c r="N88" s="190"/>
    </row>
    <row r="89" spans="2:14">
      <c r="B89" s="654"/>
      <c r="C89" s="201" t="s">
        <v>1317</v>
      </c>
      <c r="D89" s="93"/>
      <c r="E89" s="35">
        <f t="shared" ref="E89:M89" si="11">-E64</f>
        <v>115.5</v>
      </c>
      <c r="F89" s="35">
        <f t="shared" si="11"/>
        <v>115.5</v>
      </c>
      <c r="G89" s="35">
        <f t="shared" si="11"/>
        <v>127.05</v>
      </c>
      <c r="H89" s="35">
        <f t="shared" si="11"/>
        <v>139.755</v>
      </c>
      <c r="I89" s="35">
        <f t="shared" si="11"/>
        <v>153.73050000000001</v>
      </c>
      <c r="J89" s="35">
        <f t="shared" si="11"/>
        <v>169.10354999999998</v>
      </c>
      <c r="K89" s="35">
        <f t="shared" si="11"/>
        <v>186.01390500000002</v>
      </c>
      <c r="L89" s="35">
        <f t="shared" si="11"/>
        <v>204.61529550000006</v>
      </c>
      <c r="M89" s="213">
        <f t="shared" si="11"/>
        <v>225.07682505000005</v>
      </c>
      <c r="N89" s="190"/>
    </row>
    <row r="90" spans="2:14">
      <c r="B90" s="654"/>
      <c r="C90" s="201" t="s">
        <v>1318</v>
      </c>
      <c r="D90" s="92"/>
      <c r="E90" s="81"/>
      <c r="F90" s="81"/>
      <c r="G90" s="81"/>
      <c r="H90" s="81"/>
      <c r="I90" s="81"/>
      <c r="J90" s="81"/>
      <c r="K90" s="81"/>
      <c r="L90" s="81"/>
      <c r="M90" s="214"/>
      <c r="N90" s="190"/>
    </row>
    <row r="91" spans="2:14">
      <c r="B91" s="654"/>
      <c r="C91" s="201" t="s">
        <v>1319</v>
      </c>
      <c r="D91" s="93"/>
      <c r="E91" s="35">
        <f t="shared" ref="E91:M91" si="12">D73-E73</f>
        <v>18</v>
      </c>
      <c r="F91" s="35">
        <f t="shared" si="12"/>
        <v>-13.199999999999989</v>
      </c>
      <c r="G91" s="35">
        <f t="shared" si="12"/>
        <v>-14.52000000000001</v>
      </c>
      <c r="H91" s="35">
        <f t="shared" si="12"/>
        <v>-15.972000000000008</v>
      </c>
      <c r="I91" s="35">
        <f t="shared" si="12"/>
        <v>-17.569200000000023</v>
      </c>
      <c r="J91" s="35">
        <f t="shared" si="12"/>
        <v>-19.326120000000003</v>
      </c>
      <c r="K91" s="35">
        <f t="shared" si="12"/>
        <v>-21.258732000000009</v>
      </c>
      <c r="L91" s="35">
        <f t="shared" si="12"/>
        <v>-23.38460520000001</v>
      </c>
      <c r="M91" s="213">
        <f t="shared" si="12"/>
        <v>-25.723065720000022</v>
      </c>
      <c r="N91" s="190"/>
    </row>
    <row r="92" spans="2:14">
      <c r="B92" s="654"/>
      <c r="C92" s="201" t="s">
        <v>1320</v>
      </c>
      <c r="D92" s="93"/>
      <c r="E92" s="35">
        <f t="shared" ref="E92:M92" si="13">E80-D80</f>
        <v>4.2999999999999972</v>
      </c>
      <c r="F92" s="35">
        <f t="shared" si="13"/>
        <v>3.6300000000000026</v>
      </c>
      <c r="G92" s="35">
        <f t="shared" si="13"/>
        <v>3.9930000000000021</v>
      </c>
      <c r="H92" s="35">
        <f t="shared" si="13"/>
        <v>4.3923000000000059</v>
      </c>
      <c r="I92" s="35">
        <f t="shared" si="13"/>
        <v>4.8315300000000008</v>
      </c>
      <c r="J92" s="35">
        <f t="shared" si="13"/>
        <v>5.3146830000000023</v>
      </c>
      <c r="K92" s="35">
        <f t="shared" si="13"/>
        <v>5.8461513000000025</v>
      </c>
      <c r="L92" s="35">
        <f t="shared" si="13"/>
        <v>6.4307664300000056</v>
      </c>
      <c r="M92" s="213">
        <f t="shared" si="13"/>
        <v>7.0738430730000061</v>
      </c>
      <c r="N92" s="190"/>
    </row>
    <row r="93" spans="2:14">
      <c r="B93" s="654"/>
      <c r="C93" s="201" t="s">
        <v>1321</v>
      </c>
      <c r="D93" s="93"/>
      <c r="E93" s="35">
        <f t="shared" ref="E93:M93" si="14">SUM(E88,E89,E91,E92)</f>
        <v>375.98500000000001</v>
      </c>
      <c r="F93" s="35">
        <f t="shared" si="14"/>
        <v>381.61768887499994</v>
      </c>
      <c r="G93" s="35">
        <f t="shared" si="14"/>
        <v>422.20958578479048</v>
      </c>
      <c r="H93" s="35">
        <f t="shared" si="14"/>
        <v>466.89730656549636</v>
      </c>
      <c r="I93" s="35">
        <f t="shared" si="14"/>
        <v>516.09098586447124</v>
      </c>
      <c r="J93" s="35">
        <f t="shared" si="14"/>
        <v>570.24178011912818</v>
      </c>
      <c r="K93" s="35">
        <f t="shared" si="14"/>
        <v>629.84596986144902</v>
      </c>
      <c r="L93" s="35">
        <f t="shared" si="14"/>
        <v>695.44947225483793</v>
      </c>
      <c r="M93" s="213">
        <f t="shared" si="14"/>
        <v>767.65280488657993</v>
      </c>
      <c r="N93" s="190"/>
    </row>
    <row r="94" spans="2:14">
      <c r="B94" s="654"/>
      <c r="C94" s="201"/>
      <c r="D94" s="92"/>
      <c r="E94" s="81"/>
      <c r="F94" s="81"/>
      <c r="G94" s="81"/>
      <c r="H94" s="81"/>
      <c r="I94" s="81"/>
      <c r="J94" s="81"/>
      <c r="K94" s="81"/>
      <c r="L94" s="81"/>
      <c r="M94" s="214"/>
      <c r="N94" s="190"/>
    </row>
    <row r="95" spans="2:14" ht="13">
      <c r="B95" s="654"/>
      <c r="C95" s="216" t="s">
        <v>1322</v>
      </c>
      <c r="D95" s="92"/>
      <c r="E95" s="81"/>
      <c r="F95" s="81"/>
      <c r="G95" s="81"/>
      <c r="H95" s="81"/>
      <c r="I95" s="81"/>
      <c r="J95" s="81"/>
      <c r="K95" s="81"/>
      <c r="L95" s="81"/>
      <c r="M95" s="214"/>
      <c r="N95" s="190"/>
    </row>
    <row r="96" spans="2:14">
      <c r="B96" s="654"/>
      <c r="C96" s="201" t="s">
        <v>1323</v>
      </c>
      <c r="D96" s="93"/>
      <c r="E96" s="35">
        <f t="shared" ref="E96:M96" si="15">D75-E75</f>
        <v>-115.5</v>
      </c>
      <c r="F96" s="35">
        <f t="shared" si="15"/>
        <v>-192.5</v>
      </c>
      <c r="G96" s="35">
        <f t="shared" si="15"/>
        <v>-211.75</v>
      </c>
      <c r="H96" s="35">
        <f t="shared" si="15"/>
        <v>-232.92500000000018</v>
      </c>
      <c r="I96" s="35">
        <f t="shared" si="15"/>
        <v>-256.21749999999975</v>
      </c>
      <c r="J96" s="35">
        <f t="shared" si="15"/>
        <v>-281.83924999999999</v>
      </c>
      <c r="K96" s="35">
        <f t="shared" si="15"/>
        <v>-310.02317500000026</v>
      </c>
      <c r="L96" s="35">
        <f t="shared" si="15"/>
        <v>-341.02549249999993</v>
      </c>
      <c r="M96" s="213">
        <f t="shared" si="15"/>
        <v>-375.12804175000019</v>
      </c>
      <c r="N96" s="190"/>
    </row>
    <row r="97" spans="2:14">
      <c r="B97" s="654"/>
      <c r="C97" s="201" t="s">
        <v>1324</v>
      </c>
      <c r="D97" s="93"/>
      <c r="E97" s="35">
        <f t="shared" ref="E97:M97" si="16">E96</f>
        <v>-115.5</v>
      </c>
      <c r="F97" s="35">
        <f t="shared" si="16"/>
        <v>-192.5</v>
      </c>
      <c r="G97" s="35">
        <f t="shared" si="16"/>
        <v>-211.75</v>
      </c>
      <c r="H97" s="35">
        <f t="shared" si="16"/>
        <v>-232.92500000000018</v>
      </c>
      <c r="I97" s="35">
        <f t="shared" si="16"/>
        <v>-256.21749999999975</v>
      </c>
      <c r="J97" s="35">
        <f t="shared" si="16"/>
        <v>-281.83924999999999</v>
      </c>
      <c r="K97" s="35">
        <f t="shared" si="16"/>
        <v>-310.02317500000026</v>
      </c>
      <c r="L97" s="35">
        <f t="shared" si="16"/>
        <v>-341.02549249999993</v>
      </c>
      <c r="M97" s="213">
        <f t="shared" si="16"/>
        <v>-375.12804175000019</v>
      </c>
      <c r="N97" s="190"/>
    </row>
    <row r="98" spans="2:14">
      <c r="B98" s="654"/>
      <c r="C98" s="201"/>
      <c r="D98" s="92"/>
      <c r="E98" s="81"/>
      <c r="F98" s="81"/>
      <c r="G98" s="81"/>
      <c r="H98" s="81"/>
      <c r="I98" s="81"/>
      <c r="J98" s="81"/>
      <c r="K98" s="81"/>
      <c r="L98" s="81"/>
      <c r="M98" s="214"/>
      <c r="N98" s="190"/>
    </row>
    <row r="99" spans="2:14" ht="13">
      <c r="B99" s="654"/>
      <c r="C99" s="216" t="s">
        <v>1325</v>
      </c>
      <c r="D99" s="92"/>
      <c r="E99" s="81"/>
      <c r="F99" s="81"/>
      <c r="G99" s="81"/>
      <c r="H99" s="81"/>
      <c r="I99" s="81"/>
      <c r="J99" s="81"/>
      <c r="K99" s="81"/>
      <c r="L99" s="81"/>
      <c r="M99" s="214"/>
      <c r="N99" s="190"/>
    </row>
    <row r="100" spans="2:14">
      <c r="B100" s="654"/>
      <c r="C100" s="201" t="s">
        <v>1326</v>
      </c>
      <c r="D100" s="93"/>
      <c r="E100" s="35">
        <f t="shared" ref="E100:M100" si="17">E68</f>
        <v>-131.00175000000002</v>
      </c>
      <c r="F100" s="35">
        <f t="shared" si="17"/>
        <v>-151.62822888124998</v>
      </c>
      <c r="G100" s="35">
        <f t="shared" si="17"/>
        <v>-168.12762218163479</v>
      </c>
      <c r="H100" s="35">
        <f t="shared" si="17"/>
        <v>-186.29710361102303</v>
      </c>
      <c r="I100" s="35">
        <f t="shared" si="17"/>
        <v>-206.30398572545917</v>
      </c>
      <c r="J100" s="35">
        <f t="shared" si="17"/>
        <v>-228.33231691552047</v>
      </c>
      <c r="K100" s="35">
        <f t="shared" si="17"/>
        <v>-252.58455505879701</v>
      </c>
      <c r="L100" s="35">
        <f t="shared" si="17"/>
        <v>-279.28340853866086</v>
      </c>
      <c r="M100" s="213">
        <f t="shared" si="17"/>
        <v>-308.67386136596895</v>
      </c>
      <c r="N100" s="190"/>
    </row>
    <row r="101" spans="2:14">
      <c r="B101" s="654"/>
      <c r="C101" s="201" t="s">
        <v>1327</v>
      </c>
      <c r="D101" s="93"/>
      <c r="E101" s="35">
        <f t="shared" ref="E101:M101" si="18">E100</f>
        <v>-131.00175000000002</v>
      </c>
      <c r="F101" s="35">
        <f t="shared" si="18"/>
        <v>-151.62822888124998</v>
      </c>
      <c r="G101" s="35">
        <f t="shared" si="18"/>
        <v>-168.12762218163479</v>
      </c>
      <c r="H101" s="35">
        <f t="shared" si="18"/>
        <v>-186.29710361102303</v>
      </c>
      <c r="I101" s="35">
        <f t="shared" si="18"/>
        <v>-206.30398572545917</v>
      </c>
      <c r="J101" s="35">
        <f t="shared" si="18"/>
        <v>-228.33231691552047</v>
      </c>
      <c r="K101" s="35">
        <f t="shared" si="18"/>
        <v>-252.58455505879701</v>
      </c>
      <c r="L101" s="35">
        <f t="shared" si="18"/>
        <v>-279.28340853866086</v>
      </c>
      <c r="M101" s="213">
        <f t="shared" si="18"/>
        <v>-308.67386136596895</v>
      </c>
      <c r="N101" s="190"/>
    </row>
    <row r="102" spans="2:14">
      <c r="B102" s="654"/>
      <c r="C102" s="201"/>
      <c r="D102" s="92"/>
      <c r="E102" s="81"/>
      <c r="F102" s="81"/>
      <c r="G102" s="81"/>
      <c r="H102" s="81"/>
      <c r="I102" s="81"/>
      <c r="J102" s="81"/>
      <c r="K102" s="81"/>
      <c r="L102" s="81"/>
      <c r="M102" s="214"/>
      <c r="N102" s="190"/>
    </row>
    <row r="103" spans="2:14">
      <c r="B103" s="654"/>
      <c r="C103" s="201" t="s">
        <v>1328</v>
      </c>
      <c r="D103" s="93"/>
      <c r="E103" s="35">
        <f t="shared" ref="E103:M103" si="19">SUM(E93,E97,E101)</f>
        <v>129.48325</v>
      </c>
      <c r="F103" s="35">
        <f t="shared" si="19"/>
        <v>37.489459993749961</v>
      </c>
      <c r="G103" s="35">
        <f t="shared" si="19"/>
        <v>42.331963603155685</v>
      </c>
      <c r="H103" s="35">
        <f t="shared" si="19"/>
        <v>47.67520295447315</v>
      </c>
      <c r="I103" s="35">
        <f t="shared" si="19"/>
        <v>53.56950013901232</v>
      </c>
      <c r="J103" s="35">
        <f t="shared" si="19"/>
        <v>60.070213203607722</v>
      </c>
      <c r="K103" s="35">
        <f t="shared" si="19"/>
        <v>67.238239802651748</v>
      </c>
      <c r="L103" s="35">
        <f t="shared" si="19"/>
        <v>75.140571216177136</v>
      </c>
      <c r="M103" s="213">
        <f t="shared" si="19"/>
        <v>83.85090177061079</v>
      </c>
      <c r="N103" s="190"/>
    </row>
    <row r="104" spans="2:14">
      <c r="B104" s="654"/>
      <c r="C104" s="201"/>
      <c r="D104" s="33"/>
      <c r="E104" s="33"/>
      <c r="F104" s="33"/>
      <c r="G104" s="33"/>
      <c r="H104" s="33"/>
      <c r="I104" s="33"/>
      <c r="J104" s="33"/>
      <c r="K104" s="33"/>
      <c r="L104" s="33"/>
      <c r="M104" s="646"/>
      <c r="N104" s="190"/>
    </row>
    <row r="105" spans="2:14">
      <c r="B105" s="654"/>
      <c r="C105" s="643" t="s">
        <v>1329</v>
      </c>
      <c r="D105" s="647"/>
      <c r="E105" s="647"/>
      <c r="F105" s="647"/>
      <c r="G105" s="647"/>
      <c r="H105" s="647"/>
      <c r="I105" s="647"/>
      <c r="J105" s="647"/>
      <c r="K105" s="647"/>
      <c r="L105" s="647"/>
      <c r="M105" s="648"/>
      <c r="N105" s="190"/>
    </row>
    <row r="106" spans="2:14" ht="13">
      <c r="B106" s="654"/>
      <c r="C106" s="201" t="s">
        <v>641</v>
      </c>
      <c r="D106" s="91">
        <f>D59</f>
        <v>40178</v>
      </c>
      <c r="E106" s="91">
        <f t="shared" ref="E106:M106" si="20">E59</f>
        <v>40543</v>
      </c>
      <c r="F106" s="91">
        <f t="shared" si="20"/>
        <v>40908</v>
      </c>
      <c r="G106" s="91">
        <f t="shared" si="20"/>
        <v>41274</v>
      </c>
      <c r="H106" s="91">
        <f t="shared" si="20"/>
        <v>41639</v>
      </c>
      <c r="I106" s="91">
        <f t="shared" si="20"/>
        <v>42004</v>
      </c>
      <c r="J106" s="91">
        <f t="shared" si="20"/>
        <v>42369</v>
      </c>
      <c r="K106" s="91">
        <f t="shared" si="20"/>
        <v>42735</v>
      </c>
      <c r="L106" s="91">
        <f t="shared" si="20"/>
        <v>43100</v>
      </c>
      <c r="M106" s="641">
        <f t="shared" si="20"/>
        <v>43465</v>
      </c>
      <c r="N106" s="190"/>
    </row>
    <row r="107" spans="2:14">
      <c r="B107" s="654"/>
      <c r="C107" s="201" t="s">
        <v>1299</v>
      </c>
      <c r="D107" s="93"/>
      <c r="E107" s="35">
        <f t="shared" ref="E107:M107" si="21">E67</f>
        <v>238.185</v>
      </c>
      <c r="F107" s="35">
        <f t="shared" si="21"/>
        <v>275.68768887499994</v>
      </c>
      <c r="G107" s="35">
        <f t="shared" si="21"/>
        <v>305.68658578479051</v>
      </c>
      <c r="H107" s="35">
        <f t="shared" si="21"/>
        <v>338.72200656549637</v>
      </c>
      <c r="I107" s="35">
        <f t="shared" si="21"/>
        <v>375.09815586447121</v>
      </c>
      <c r="J107" s="35">
        <f t="shared" si="21"/>
        <v>415.14966711912808</v>
      </c>
      <c r="K107" s="35">
        <f t="shared" si="21"/>
        <v>459.24464556144909</v>
      </c>
      <c r="L107" s="35">
        <f t="shared" si="21"/>
        <v>507.78801552483793</v>
      </c>
      <c r="M107" s="213">
        <f t="shared" si="21"/>
        <v>561.22520248357989</v>
      </c>
      <c r="N107" s="190"/>
    </row>
    <row r="108" spans="2:14">
      <c r="B108" s="654"/>
      <c r="C108" s="201" t="s">
        <v>1317</v>
      </c>
      <c r="D108" s="93"/>
      <c r="E108" s="35">
        <f t="shared" ref="E108:M108" si="22">-E64</f>
        <v>115.5</v>
      </c>
      <c r="F108" s="35">
        <f t="shared" si="22"/>
        <v>115.5</v>
      </c>
      <c r="G108" s="35">
        <f t="shared" si="22"/>
        <v>127.05</v>
      </c>
      <c r="H108" s="35">
        <f t="shared" si="22"/>
        <v>139.755</v>
      </c>
      <c r="I108" s="35">
        <f t="shared" si="22"/>
        <v>153.73050000000001</v>
      </c>
      <c r="J108" s="35">
        <f t="shared" si="22"/>
        <v>169.10354999999998</v>
      </c>
      <c r="K108" s="35">
        <f t="shared" si="22"/>
        <v>186.01390500000002</v>
      </c>
      <c r="L108" s="35">
        <f t="shared" si="22"/>
        <v>204.61529550000006</v>
      </c>
      <c r="M108" s="213">
        <f t="shared" si="22"/>
        <v>225.07682505000005</v>
      </c>
      <c r="N108" s="190"/>
    </row>
    <row r="109" spans="2:14">
      <c r="B109" s="654"/>
      <c r="C109" s="201" t="s">
        <v>1330</v>
      </c>
      <c r="D109" s="93"/>
      <c r="E109" s="35">
        <f t="shared" ref="E109:H110" si="23">E91</f>
        <v>18</v>
      </c>
      <c r="F109" s="35">
        <f t="shared" si="23"/>
        <v>-13.199999999999989</v>
      </c>
      <c r="G109" s="35">
        <f t="shared" si="23"/>
        <v>-14.52000000000001</v>
      </c>
      <c r="H109" s="35">
        <f t="shared" si="23"/>
        <v>-15.972000000000008</v>
      </c>
      <c r="I109" s="35">
        <f t="shared" ref="I109:M110" si="24">I91</f>
        <v>-17.569200000000023</v>
      </c>
      <c r="J109" s="35">
        <f t="shared" si="24"/>
        <v>-19.326120000000003</v>
      </c>
      <c r="K109" s="35">
        <f t="shared" si="24"/>
        <v>-21.258732000000009</v>
      </c>
      <c r="L109" s="35">
        <f t="shared" si="24"/>
        <v>-23.38460520000001</v>
      </c>
      <c r="M109" s="213">
        <f t="shared" si="24"/>
        <v>-25.723065720000022</v>
      </c>
      <c r="N109" s="190"/>
    </row>
    <row r="110" spans="2:14">
      <c r="B110" s="654"/>
      <c r="C110" s="201" t="s">
        <v>1331</v>
      </c>
      <c r="D110" s="93"/>
      <c r="E110" s="35">
        <f t="shared" si="23"/>
        <v>4.2999999999999972</v>
      </c>
      <c r="F110" s="35">
        <f t="shared" si="23"/>
        <v>3.6300000000000026</v>
      </c>
      <c r="G110" s="35">
        <f t="shared" si="23"/>
        <v>3.9930000000000021</v>
      </c>
      <c r="H110" s="35">
        <f t="shared" si="23"/>
        <v>4.3923000000000059</v>
      </c>
      <c r="I110" s="35">
        <f t="shared" si="24"/>
        <v>4.8315300000000008</v>
      </c>
      <c r="J110" s="35">
        <f t="shared" si="24"/>
        <v>5.3146830000000023</v>
      </c>
      <c r="K110" s="35">
        <f t="shared" si="24"/>
        <v>5.8461513000000025</v>
      </c>
      <c r="L110" s="35">
        <f t="shared" si="24"/>
        <v>6.4307664300000056</v>
      </c>
      <c r="M110" s="213">
        <f t="shared" si="24"/>
        <v>7.0738430730000061</v>
      </c>
      <c r="N110" s="190"/>
    </row>
    <row r="111" spans="2:14">
      <c r="B111" s="654"/>
      <c r="C111" s="201" t="s">
        <v>1332</v>
      </c>
      <c r="D111" s="93"/>
      <c r="E111" s="35">
        <f t="shared" ref="E111:M111" si="25">D75-E75</f>
        <v>-115.5</v>
      </c>
      <c r="F111" s="35">
        <f t="shared" si="25"/>
        <v>-192.5</v>
      </c>
      <c r="G111" s="35">
        <f t="shared" si="25"/>
        <v>-211.75</v>
      </c>
      <c r="H111" s="35">
        <f t="shared" si="25"/>
        <v>-232.92500000000018</v>
      </c>
      <c r="I111" s="35">
        <f t="shared" si="25"/>
        <v>-256.21749999999975</v>
      </c>
      <c r="J111" s="35">
        <f t="shared" si="25"/>
        <v>-281.83924999999999</v>
      </c>
      <c r="K111" s="35">
        <f t="shared" si="25"/>
        <v>-310.02317500000026</v>
      </c>
      <c r="L111" s="35">
        <f t="shared" si="25"/>
        <v>-341.02549249999993</v>
      </c>
      <c r="M111" s="213">
        <f t="shared" si="25"/>
        <v>-375.12804175000019</v>
      </c>
      <c r="N111" s="190"/>
    </row>
    <row r="112" spans="2:14">
      <c r="B112" s="654"/>
      <c r="C112" s="201" t="s">
        <v>1333</v>
      </c>
      <c r="D112" s="93"/>
      <c r="E112" s="35">
        <f>-(1-Sensitising_Value_calcs!$C$16)* E62</f>
        <v>17.151999999999997</v>
      </c>
      <c r="F112" s="35">
        <f>-(1-Sensitising_Value_calcs!$C$16)* F62</f>
        <v>17.151999999999997</v>
      </c>
      <c r="G112" s="35">
        <f>-(1-Sensitising_Value_calcs!$C$16)* G62</f>
        <v>17.151999999999997</v>
      </c>
      <c r="H112" s="35">
        <f>-(1-Sensitising_Value_calcs!$C$16)* H62</f>
        <v>17.151999999999997</v>
      </c>
      <c r="I112" s="35">
        <f>-(1-Sensitising_Value_calcs!$C$16)* I62</f>
        <v>17.151999999999997</v>
      </c>
      <c r="J112" s="35">
        <f>-(1-Sensitising_Value_calcs!$C$16)* J62</f>
        <v>17.151999999999997</v>
      </c>
      <c r="K112" s="35">
        <f>-(1-Sensitising_Value_calcs!$C$16)* K62</f>
        <v>17.151999999999997</v>
      </c>
      <c r="L112" s="35">
        <f>-(1-Sensitising_Value_calcs!$C$16)* L62</f>
        <v>17.151999999999997</v>
      </c>
      <c r="M112" s="213">
        <f>-(1-Sensitising_Value_calcs!$C$16)* M62</f>
        <v>17.151999999999997</v>
      </c>
      <c r="N112" s="190"/>
    </row>
    <row r="113" spans="2:14">
      <c r="B113" s="654"/>
      <c r="C113" s="201" t="s">
        <v>1334</v>
      </c>
      <c r="D113" s="93"/>
      <c r="E113" s="35">
        <f>-(1-Sensitising_Value_calcs!$C$16)*E63</f>
        <v>-1.0719999999999998</v>
      </c>
      <c r="F113" s="35">
        <f>-(1-Sensitising_Value_calcs!$C$16)*F63</f>
        <v>-5.4096888749999996</v>
      </c>
      <c r="G113" s="35">
        <f>-(1-Sensitising_Value_calcs!$C$16)*G63</f>
        <v>-6.6655857847906228</v>
      </c>
      <c r="H113" s="35">
        <f>-(1-Sensitising_Value_calcs!$C$16)*H63</f>
        <v>-8.0837065654963389</v>
      </c>
      <c r="I113" s="35">
        <f>-(1-Sensitising_Value_calcs!$C$16)*I63</f>
        <v>-9.6808258644711884</v>
      </c>
      <c r="J113" s="35">
        <f>-(1-Sensitising_Value_calcs!$C$16)*J63</f>
        <v>-11.475404119128102</v>
      </c>
      <c r="K113" s="35">
        <f>-(1-Sensitising_Value_calcs!$C$16)*K63</f>
        <v>-13.487756261448961</v>
      </c>
      <c r="L113" s="35">
        <f>-(1-Sensitising_Value_calcs!$C$16)*L63</f>
        <v>-15.740237294837794</v>
      </c>
      <c r="M113" s="213">
        <f>-(1-Sensitising_Value_calcs!$C$16)*M63</f>
        <v>-18.25744643057973</v>
      </c>
      <c r="N113" s="190"/>
    </row>
    <row r="114" spans="2:14">
      <c r="B114" s="654"/>
      <c r="C114" s="201" t="s">
        <v>1329</v>
      </c>
      <c r="D114" s="93"/>
      <c r="E114" s="35">
        <f t="shared" ref="E114:M114" si="26">SUM(E107:E113)</f>
        <v>276.565</v>
      </c>
      <c r="F114" s="35">
        <f t="shared" si="26"/>
        <v>200.85999999999993</v>
      </c>
      <c r="G114" s="35">
        <f t="shared" si="26"/>
        <v>220.94599999999983</v>
      </c>
      <c r="H114" s="35">
        <f t="shared" si="26"/>
        <v>243.04059999999984</v>
      </c>
      <c r="I114" s="35">
        <f t="shared" si="26"/>
        <v>267.34466000000032</v>
      </c>
      <c r="J114" s="35">
        <f t="shared" si="26"/>
        <v>294.07912600000009</v>
      </c>
      <c r="K114" s="35">
        <f t="shared" si="26"/>
        <v>323.48703859999978</v>
      </c>
      <c r="L114" s="35">
        <f t="shared" si="26"/>
        <v>355.83574246000018</v>
      </c>
      <c r="M114" s="213">
        <f t="shared" si="26"/>
        <v>391.41931670600002</v>
      </c>
      <c r="N114" s="190"/>
    </row>
    <row r="115" spans="2:14" ht="13">
      <c r="B115" s="654"/>
      <c r="C115" s="201"/>
      <c r="D115" s="94"/>
      <c r="E115" s="94"/>
      <c r="F115" s="94"/>
      <c r="G115" s="94"/>
      <c r="H115" s="94"/>
      <c r="I115" s="94"/>
      <c r="J115" s="94"/>
      <c r="K115" s="94"/>
      <c r="L115" s="94"/>
      <c r="M115" s="649"/>
      <c r="N115" s="190"/>
    </row>
    <row r="116" spans="2:14">
      <c r="B116" s="654"/>
      <c r="C116" s="643" t="s">
        <v>1343</v>
      </c>
      <c r="D116" s="650"/>
      <c r="E116" s="650"/>
      <c r="F116" s="650"/>
      <c r="G116" s="650"/>
      <c r="H116" s="650"/>
      <c r="I116" s="650"/>
      <c r="J116" s="650"/>
      <c r="K116" s="650"/>
      <c r="L116" s="650"/>
      <c r="M116" s="651"/>
      <c r="N116" s="190"/>
    </row>
    <row r="117" spans="2:14">
      <c r="B117" s="654"/>
      <c r="C117" s="201" t="s">
        <v>1344</v>
      </c>
      <c r="D117" s="93">
        <v>0</v>
      </c>
      <c r="E117" s="35">
        <f t="shared" ref="E117:M117" si="27">E114</f>
        <v>276.565</v>
      </c>
      <c r="F117" s="35">
        <f t="shared" si="27"/>
        <v>200.85999999999993</v>
      </c>
      <c r="G117" s="35">
        <f t="shared" si="27"/>
        <v>220.94599999999983</v>
      </c>
      <c r="H117" s="35">
        <f t="shared" si="27"/>
        <v>243.04059999999984</v>
      </c>
      <c r="I117" s="35">
        <f t="shared" si="27"/>
        <v>267.34466000000032</v>
      </c>
      <c r="J117" s="35">
        <f t="shared" si="27"/>
        <v>294.07912600000009</v>
      </c>
      <c r="K117" s="35">
        <f t="shared" si="27"/>
        <v>323.48703859999978</v>
      </c>
      <c r="L117" s="35">
        <f t="shared" si="27"/>
        <v>355.83574246000018</v>
      </c>
      <c r="M117" s="213">
        <f t="shared" si="27"/>
        <v>391.41931670600002</v>
      </c>
      <c r="N117" s="190"/>
    </row>
    <row r="118" spans="2:14">
      <c r="B118" s="654"/>
      <c r="C118" s="201" t="s">
        <v>804</v>
      </c>
      <c r="D118" s="92"/>
      <c r="E118" s="81"/>
      <c r="F118" s="81"/>
      <c r="G118" s="81"/>
      <c r="H118" s="81"/>
      <c r="I118" s="81"/>
      <c r="J118" s="81"/>
      <c r="K118" s="81"/>
      <c r="L118" s="81"/>
      <c r="M118" s="213">
        <f>Sensitising_Value_calcs!C19</f>
        <v>12</v>
      </c>
      <c r="N118" s="190"/>
    </row>
    <row r="119" spans="2:14">
      <c r="B119" s="654"/>
      <c r="C119" s="201" t="s">
        <v>1345</v>
      </c>
      <c r="D119" s="92">
        <v>0</v>
      </c>
      <c r="E119" s="81">
        <v>0</v>
      </c>
      <c r="F119" s="81">
        <v>0</v>
      </c>
      <c r="G119" s="81">
        <v>0</v>
      </c>
      <c r="H119" s="81">
        <v>0</v>
      </c>
      <c r="I119" s="81">
        <v>0</v>
      </c>
      <c r="J119" s="81">
        <v>0</v>
      </c>
      <c r="K119" s="81">
        <v>0</v>
      </c>
      <c r="L119" s="81">
        <v>0</v>
      </c>
      <c r="M119" s="213">
        <f>M117*M118</f>
        <v>4697.0318004720002</v>
      </c>
      <c r="N119" s="190"/>
    </row>
    <row r="120" spans="2:14">
      <c r="B120" s="654"/>
      <c r="C120" s="201" t="s">
        <v>1346</v>
      </c>
      <c r="D120" s="93">
        <v>0</v>
      </c>
      <c r="E120" s="35">
        <f t="shared" ref="E120:M120" si="28">SUM(E114,E119)</f>
        <v>276.565</v>
      </c>
      <c r="F120" s="35">
        <f t="shared" si="28"/>
        <v>200.85999999999993</v>
      </c>
      <c r="G120" s="35">
        <f t="shared" si="28"/>
        <v>220.94599999999983</v>
      </c>
      <c r="H120" s="35">
        <f t="shared" si="28"/>
        <v>243.04059999999984</v>
      </c>
      <c r="I120" s="35">
        <f>SUM(I114,I119)</f>
        <v>267.34466000000032</v>
      </c>
      <c r="J120" s="35">
        <f>SUM(J114,J119)</f>
        <v>294.07912600000009</v>
      </c>
      <c r="K120" s="35">
        <f>SUM(K114,K119)</f>
        <v>323.48703859999978</v>
      </c>
      <c r="L120" s="35">
        <f>SUM(L114,L119)</f>
        <v>355.83574246000018</v>
      </c>
      <c r="M120" s="213">
        <f t="shared" si="28"/>
        <v>5088.4511171780005</v>
      </c>
      <c r="N120" s="190"/>
    </row>
    <row r="121" spans="2:14">
      <c r="B121" s="654"/>
      <c r="C121" s="201" t="s">
        <v>1347</v>
      </c>
      <c r="D121" s="127">
        <f>NPV(Sensitising_Value_calcs!C18,D120:M120)</f>
        <v>1870.9301684401414</v>
      </c>
      <c r="E121" s="33"/>
      <c r="F121" s="33"/>
      <c r="G121" s="33"/>
      <c r="H121" s="33"/>
      <c r="I121" s="80"/>
      <c r="J121" s="33"/>
      <c r="K121" s="33"/>
      <c r="L121" s="33"/>
      <c r="M121" s="646"/>
      <c r="N121" s="190"/>
    </row>
    <row r="122" spans="2:14">
      <c r="B122" s="654"/>
      <c r="C122" s="201" t="s">
        <v>1348</v>
      </c>
      <c r="D122" s="35">
        <f>D72</f>
        <v>32</v>
      </c>
      <c r="E122" s="33"/>
      <c r="F122" s="33"/>
      <c r="G122" s="33"/>
      <c r="H122" s="33"/>
      <c r="I122" s="80"/>
      <c r="J122" s="33"/>
      <c r="K122" s="33"/>
      <c r="L122" s="33"/>
      <c r="M122" s="646"/>
      <c r="N122" s="190"/>
    </row>
    <row r="123" spans="2:14" s="80" customFormat="1">
      <c r="B123" s="654"/>
      <c r="C123" s="215" t="s">
        <v>1349</v>
      </c>
      <c r="D123" s="35">
        <f>SUM(D121:D122)</f>
        <v>1902.9301684401414</v>
      </c>
      <c r="M123" s="217"/>
      <c r="N123" s="190"/>
    </row>
    <row r="124" spans="2:14" s="80" customFormat="1">
      <c r="B124" s="654"/>
      <c r="C124" s="215" t="s">
        <v>1350</v>
      </c>
      <c r="D124" s="35">
        <f>-D81</f>
        <v>-320</v>
      </c>
      <c r="M124" s="217"/>
      <c r="N124" s="190"/>
    </row>
    <row r="125" spans="2:14" s="80" customFormat="1">
      <c r="B125" s="654"/>
      <c r="C125" s="220" t="s">
        <v>1351</v>
      </c>
      <c r="D125" s="652">
        <f>SUM(D123:D124)</f>
        <v>1582.9301684401414</v>
      </c>
      <c r="E125" s="222"/>
      <c r="F125" s="222"/>
      <c r="G125" s="222"/>
      <c r="H125" s="222"/>
      <c r="I125" s="222"/>
      <c r="J125" s="222"/>
      <c r="K125" s="222"/>
      <c r="L125" s="222"/>
      <c r="M125" s="223"/>
      <c r="N125" s="190"/>
    </row>
    <row r="126" spans="2:14" s="80" customFormat="1">
      <c r="B126" s="655"/>
      <c r="C126" s="656"/>
      <c r="D126" s="657"/>
      <c r="E126" s="191"/>
      <c r="F126" s="191"/>
      <c r="G126" s="191"/>
      <c r="H126" s="191"/>
      <c r="I126" s="191"/>
      <c r="J126" s="191"/>
      <c r="K126" s="191"/>
      <c r="L126" s="191"/>
      <c r="M126" s="191"/>
      <c r="N126" s="192"/>
    </row>
    <row r="127" spans="2:14" s="80" customFormat="1">
      <c r="D127" s="81"/>
      <c r="K127" s="229"/>
      <c r="L127" s="229"/>
      <c r="M127" s="229"/>
    </row>
    <row r="128" spans="2:14" s="80" customFormat="1">
      <c r="C128" s="1454" t="str">
        <f>back_to_index</f>
        <v>Back to contents</v>
      </c>
      <c r="D128" s="1454"/>
      <c r="E128" s="1551" t="str">
        <f>page_prefix &amp; page_Sensitising_Value &amp; page_suffix</f>
        <v>- Page 17 -</v>
      </c>
      <c r="F128" s="1551"/>
      <c r="G128" s="1551"/>
      <c r="H128" s="1551"/>
      <c r="L128" s="367" t="str">
        <f>back_to_top</f>
        <v>Back to top</v>
      </c>
      <c r="M128" s="230"/>
    </row>
    <row r="129" spans="3:13" s="80" customFormat="1">
      <c r="C129" s="368"/>
      <c r="D129" s="81"/>
      <c r="E129" s="1551" t="str">
        <f>copyright</f>
        <v>Copyright (c) 2009 Tykoh Group Pty Limited</v>
      </c>
      <c r="F129" s="1551"/>
      <c r="G129" s="1551"/>
      <c r="H129" s="1551"/>
      <c r="L129" s="230"/>
      <c r="M129" s="230"/>
    </row>
    <row r="130" spans="3:13">
      <c r="E130" s="1452" t="str">
        <f>home_address</f>
        <v>www.tykoh.com</v>
      </c>
      <c r="F130" s="1452"/>
      <c r="G130" s="1452"/>
      <c r="H130" s="1452"/>
    </row>
    <row r="131" spans="3:13">
      <c r="E131" s="129"/>
      <c r="F131" s="129"/>
      <c r="G131" s="129"/>
      <c r="H131" s="129"/>
    </row>
  </sheetData>
  <sheetProtection algorithmName="SHA-512" hashValue="pojbX2NNFsHlpKjf73Gs+xQeR3pSiwOKTazE12gTgJAyns3gzaSJ/UcE3H592ETB4LhdZmq/55m9+HIrM/5GPg==" saltValue="a4o6x+PtTpjQsbgb8gXHEg==" spinCount="100000" sheet="1" objects="1" scenarios="1"/>
  <mergeCells count="15">
    <mergeCell ref="E2:H2"/>
    <mergeCell ref="E128:H128"/>
    <mergeCell ref="C128:D128"/>
    <mergeCell ref="C23:M23"/>
    <mergeCell ref="D15:D17"/>
    <mergeCell ref="D19:D21"/>
    <mergeCell ref="C9:M13"/>
    <mergeCell ref="C5:J7"/>
    <mergeCell ref="K4:M8"/>
    <mergeCell ref="E130:H130"/>
    <mergeCell ref="E129:H129"/>
    <mergeCell ref="C26:K26"/>
    <mergeCell ref="C24:M25"/>
    <mergeCell ref="F33:G33"/>
    <mergeCell ref="F57:G57"/>
  </mergeCells>
  <phoneticPr fontId="2" type="noConversion"/>
  <conditionalFormatting sqref="E27">
    <cfRule type="expression" dxfId="53" priority="1" stopIfTrue="1">
      <formula>E$26&lt;&gt;#REF!</formula>
    </cfRule>
    <cfRule type="expression" dxfId="52" priority="2" stopIfTrue="1">
      <formula>E$26=#REF!</formula>
    </cfRule>
  </conditionalFormatting>
  <conditionalFormatting sqref="D28:D31 H28:H31 M28:M31">
    <cfRule type="expression" dxfId="51" priority="3" stopIfTrue="1">
      <formula>AND(D$30=$E$28,D28&lt;&gt;$G28)</formula>
    </cfRule>
    <cfRule type="expression" dxfId="50" priority="4" stopIfTrue="1">
      <formula>AND(D$30=$E$28,D28=$G28)</formula>
    </cfRule>
  </conditionalFormatting>
  <dataValidations disablePrompts="1" count="13">
    <dataValidation type="list" allowBlank="1" showInputMessage="1" showErrorMessage="1" sqref="F36 D38:D53" xr:uid="{00000000-0002-0000-1900-000000000000}">
      <formula1>"1,2,3,4,5,6,7,8"</formula1>
    </dataValidation>
    <dataValidation type="decimal" allowBlank="1" showInputMessage="1" showErrorMessage="1" errorTitle="Error" error="Annual sales growth must be between -10% and 20%." sqref="D28" xr:uid="{00000000-0002-0000-1900-000001000000}">
      <formula1>-0.1</formula1>
      <formula2>0.2</formula2>
    </dataValidation>
    <dataValidation type="decimal" allowBlank="1" showInputMessage="1" showErrorMessage="1" errorTitle="Error" error="Current assets / sales must be between 0% and 50%." sqref="D29" xr:uid="{00000000-0002-0000-1900-000002000000}">
      <formula1>0</formula1>
      <formula2>0.5</formula2>
    </dataValidation>
    <dataValidation type="decimal" allowBlank="1" showInputMessage="1" showErrorMessage="1" errorTitle="Error" error="Current liabilities / cost of goods sold must be between 0% and 50%." sqref="D30" xr:uid="{00000000-0002-0000-1900-000003000000}">
      <formula1>0</formula1>
      <formula2>0.5</formula2>
    </dataValidation>
    <dataValidation type="decimal" allowBlank="1" showInputMessage="1" showErrorMessage="1" errorTitle="Error" error="Net fixed assets / sales must be between 10% and 90%." sqref="D31" xr:uid="{00000000-0002-0000-1900-000004000000}">
      <formula1>0.1</formula1>
      <formula2>0.9</formula2>
    </dataValidation>
    <dataValidation type="decimal" allowBlank="1" showInputMessage="1" showErrorMessage="1" errorTitle="Error" error="Discount rate must be between 0% and 50%." sqref="H28" xr:uid="{00000000-0002-0000-1900-000005000000}">
      <formula1>0</formula1>
      <formula2>0.5</formula2>
    </dataValidation>
    <dataValidation type="decimal" allowBlank="1" showInputMessage="1" showErrorMessage="1" errorTitle="Error" error="Depreciation rate must be between 10% and 40%." sqref="H29" xr:uid="{00000000-0002-0000-1900-000006000000}">
      <formula1>0.1</formula1>
      <formula2>0.4</formula2>
    </dataValidation>
    <dataValidation type="decimal" allowBlank="1" showInputMessage="1" showErrorMessage="1" errorTitle="Error" error="Tax rate must be between 0% and 70%." sqref="H30" xr:uid="{00000000-0002-0000-1900-000007000000}">
      <formula1>0</formula1>
      <formula2>0.7</formula2>
    </dataValidation>
    <dataValidation type="decimal" allowBlank="1" showInputMessage="1" showErrorMessage="1" errorTitle="Error" error="Dividend payout ratio must be between 0% and 100%." sqref="H31" xr:uid="{00000000-0002-0000-1900-000008000000}">
      <formula1>0</formula1>
      <formula2>1</formula2>
    </dataValidation>
    <dataValidation type="decimal" allowBlank="1" showInputMessage="1" showErrorMessage="1" errorTitle="Error" error="Interest rate on debt must be between 0% and 20%." sqref="M28" xr:uid="{00000000-0002-0000-1900-000009000000}">
      <formula1>0</formula1>
      <formula2>0.2</formula2>
    </dataValidation>
    <dataValidation type="decimal" allowBlank="1" showInputMessage="1" showErrorMessage="1" errorTitle="Error" error="Interest earned on cash balance must be between 0% and 15%." sqref="M29" xr:uid="{00000000-0002-0000-1900-00000A000000}">
      <formula1>0</formula1>
      <formula2>0.15</formula2>
    </dataValidation>
    <dataValidation type="decimal" allowBlank="1" showInputMessage="1" showErrorMessage="1" errorTitle="Error" error="Cost of goods sold / sales must be between 10% and 70%." sqref="M30" xr:uid="{00000000-0002-0000-1900-00000B000000}">
      <formula1>0.1</formula1>
      <formula2>0.7</formula2>
    </dataValidation>
    <dataValidation type="decimal" allowBlank="1" showInputMessage="1" showErrorMessage="1" errorTitle="Error" error="Terminal value multiple must be between 3 and 30." sqref="M31" xr:uid="{00000000-0002-0000-1900-00000C000000}">
      <formula1>3</formula1>
      <formula2>30</formula2>
    </dataValidation>
  </dataValidations>
  <hyperlinks>
    <hyperlink ref="L128:M128" location="hh_index" display="hh_index" xr:uid="{00000000-0004-0000-1900-000000000000}"/>
    <hyperlink ref="L128" location="hh_sensitising_value" display="hh_sensitising_value" xr:uid="{00000000-0004-0000-1900-000001000000}"/>
    <hyperlink ref="C128:D128" location="hh_index" display="hh_index" xr:uid="{00000000-0004-0000-1900-000002000000}"/>
    <hyperlink ref="E130:H130" r:id="rId1" display="https://www.tykoh.com/" xr:uid="{00000000-0004-0000-1900-000003000000}"/>
  </hyperlinks>
  <pageMargins left="0.75" right="0.75" top="1" bottom="1" header="0.5" footer="0.5"/>
  <pageSetup paperSize="9" scale="67" fitToHeight="2" orientation="portrait" r:id="rId2"/>
  <headerFooter alignWithMargins="0"/>
  <rowBreaks count="1" manualBreakCount="1">
    <brk id="70" max="13" man="1"/>
  </rowBreak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dimension ref="A1:W21"/>
  <sheetViews>
    <sheetView workbookViewId="0"/>
  </sheetViews>
  <sheetFormatPr defaultColWidth="9.1796875" defaultRowHeight="12.5"/>
  <cols>
    <col min="1" max="2" width="1" style="6" customWidth="1"/>
    <col min="3" max="3" width="18.1796875" style="6" customWidth="1"/>
    <col min="4" max="4" width="15.26953125" style="6" customWidth="1"/>
    <col min="5" max="5" width="9.1796875" style="6"/>
    <col min="6" max="7" width="8.453125" style="6" bestFit="1" customWidth="1"/>
    <col min="8" max="9" width="6.7265625" style="6" bestFit="1" customWidth="1"/>
    <col min="10" max="11" width="6.81640625" style="6" bestFit="1" customWidth="1"/>
    <col min="12" max="12" width="6.453125" style="6" bestFit="1" customWidth="1"/>
    <col min="13" max="13" width="18.1796875" style="6" bestFit="1" customWidth="1"/>
    <col min="14" max="15" width="7" style="6" bestFit="1" customWidth="1"/>
    <col min="16" max="16" width="6.81640625" style="6" bestFit="1" customWidth="1"/>
    <col min="17" max="17" width="5.26953125" style="6" bestFit="1" customWidth="1"/>
    <col min="18" max="18" width="8.453125" style="6" bestFit="1" customWidth="1"/>
    <col min="19" max="19" width="6.1796875" style="6" bestFit="1" customWidth="1"/>
    <col min="20" max="20" width="9.1796875" style="6"/>
    <col min="21" max="21" width="18.1796875" style="16" customWidth="1"/>
    <col min="22" max="16384" width="9.1796875" style="6"/>
  </cols>
  <sheetData>
    <row r="1" spans="1:23">
      <c r="A1" s="6" t="s">
        <v>1464</v>
      </c>
      <c r="B1" s="6">
        <v>1</v>
      </c>
    </row>
    <row r="2" spans="1:23">
      <c r="A2" s="6" t="s">
        <v>1465</v>
      </c>
      <c r="B2" s="6">
        <v>4</v>
      </c>
    </row>
    <row r="3" spans="1:23">
      <c r="A3" s="6" t="s">
        <v>1466</v>
      </c>
      <c r="B3" s="23">
        <v>0.01</v>
      </c>
      <c r="C3" s="23"/>
    </row>
    <row r="4" spans="1:23">
      <c r="A4" s="6" t="s">
        <v>1467</v>
      </c>
      <c r="B4" s="42">
        <f>Sensitising_Value!$F$36</f>
        <v>5</v>
      </c>
      <c r="C4" s="42"/>
    </row>
    <row r="5" spans="1:23">
      <c r="A5" s="6" t="s">
        <v>1468</v>
      </c>
      <c r="B5" s="114">
        <f>LARGE(Q8:Q19,B4)</f>
        <v>5.6694596825947003E-3</v>
      </c>
      <c r="C5" s="114"/>
    </row>
    <row r="6" spans="1:23">
      <c r="A6" s="6" t="s">
        <v>1586</v>
      </c>
      <c r="B6" s="114" t="str">
        <f>"Top"&amp;IF(B4=1," sensitivity", " " &amp;B4&amp; " sensitivities")&amp;" of equity value."</f>
        <v>Top 5 sensitivities of equity value.</v>
      </c>
      <c r="C6" s="114"/>
    </row>
    <row r="7" spans="1:23" s="17" customFormat="1" ht="26">
      <c r="B7" s="17" t="s">
        <v>1469</v>
      </c>
      <c r="D7" s="17" t="s">
        <v>778</v>
      </c>
      <c r="E7" s="17" t="s">
        <v>1470</v>
      </c>
      <c r="F7" s="119">
        <f>Sensitising_Value!D125</f>
        <v>1582.9301684401414</v>
      </c>
      <c r="G7" s="17">
        <v>1</v>
      </c>
      <c r="H7" s="17">
        <v>2</v>
      </c>
      <c r="I7" s="17">
        <v>3</v>
      </c>
      <c r="J7" s="17" t="s">
        <v>338</v>
      </c>
      <c r="K7" s="17" t="s">
        <v>339</v>
      </c>
      <c r="L7" s="115" t="s">
        <v>340</v>
      </c>
      <c r="M7" s="115" t="s">
        <v>341</v>
      </c>
      <c r="N7" s="115" t="s">
        <v>342</v>
      </c>
      <c r="O7" s="116" t="s">
        <v>343</v>
      </c>
      <c r="P7" s="39" t="s">
        <v>344</v>
      </c>
      <c r="Q7" s="17" t="s">
        <v>345</v>
      </c>
      <c r="R7" s="116" t="s">
        <v>346</v>
      </c>
      <c r="S7" s="116" t="s">
        <v>347</v>
      </c>
      <c r="U7" s="116" t="s">
        <v>348</v>
      </c>
      <c r="V7" s="115" t="s">
        <v>349</v>
      </c>
      <c r="W7" s="115" t="s">
        <v>350</v>
      </c>
    </row>
    <row r="8" spans="1:23" ht="212.5">
      <c r="A8" s="120" t="s">
        <v>785</v>
      </c>
      <c r="B8" s="6" t="s">
        <v>786</v>
      </c>
      <c r="C8" s="118">
        <f>IF(cv_shift_type=1,Sensitising_Value!D28,Sensitising_Value_calcs!E8)</f>
        <v>0.1</v>
      </c>
      <c r="D8" s="121">
        <f>Sensitising_Value!D28</f>
        <v>0.1</v>
      </c>
      <c r="E8" s="41">
        <f t="shared" ref="E8:E19" si="0">IF($B$2=F8,CHOOSE(cv_shift_type,D8,D8*(1-cv_sens_factor),D8*(1+cv_sens_factor)),D8)</f>
        <v>0.1</v>
      </c>
      <c r="F8" s="6">
        <v>1</v>
      </c>
      <c r="G8" s="46">
        <f t="dataTable" ref="G8:I19" dt2D="1" dtr="0" r1="B1" r2="B2"/>
        <v>1582.9301684401414</v>
      </c>
      <c r="H8" s="46">
        <v>1578.2882287603102</v>
      </c>
      <c r="I8" s="46">
        <v>1587.5750546736494</v>
      </c>
      <c r="J8" s="114">
        <f t="shared" ref="J8:J19" si="1">(H8-$G8)/$G8</f>
        <v>-2.9324980800672475E-3</v>
      </c>
      <c r="K8" s="114">
        <f t="shared" ref="K8:K19" si="2">(I8-$G8)/$G8</f>
        <v>2.9343595353200059E-3</v>
      </c>
      <c r="L8" s="122">
        <f ca="1">IF(N8=N7,MATCH(N8,OFFSET($J$8,L7,0):$J$19)+L7,MATCH(N8,$J$8:$J$19,0))</f>
        <v>5</v>
      </c>
      <c r="M8" s="122" t="str">
        <f t="shared" ref="M8:M19" ca="1" si="3">OFFSET($B$7,L8,0)</f>
        <v>COGS / sales</v>
      </c>
      <c r="N8" s="114">
        <f t="shared" ref="N8:N19" si="4">LARGE($J$8:$J$19,F8)</f>
        <v>2.493565643583856E-2</v>
      </c>
      <c r="O8" s="114">
        <f t="shared" ref="O8:O19" ca="1" si="5">OFFSET($K$7,L8,0)</f>
        <v>-2.4935656435838702E-2</v>
      </c>
      <c r="P8" s="123">
        <f t="shared" ref="P8:P19" si="6">LARGE($J$8:$J$19,F8)</f>
        <v>2.493565643583856E-2</v>
      </c>
      <c r="Q8" s="41">
        <f t="shared" ref="Q8:Q19" si="7">ABS(N8)</f>
        <v>2.493565643583856E-2</v>
      </c>
      <c r="R8" s="6">
        <f t="shared" ref="R8:R19" si="8">IF(Q8&gt;=$B$5,1,0)</f>
        <v>1</v>
      </c>
      <c r="S8" s="6">
        <f t="shared" ref="S8:S19" si="9">IF(R8,SUM(S7,1),SUM(S7,0))</f>
        <v>1</v>
      </c>
      <c r="T8" s="6">
        <f t="shared" ref="T8:T19" si="10">MATCH(F8,$S$8:$S$19,0)</f>
        <v>1</v>
      </c>
      <c r="U8" s="16" t="str">
        <f t="shared" ref="U8:U19" ca="1" si="11">OFFSET($M$7,T8,0)</f>
        <v>COGS / sales</v>
      </c>
      <c r="V8" s="114">
        <f t="shared" ref="V8:V19" ca="1" si="12">OFFSET($N$7,T8,0)</f>
        <v>2.493565643583856E-2</v>
      </c>
      <c r="W8" s="114">
        <f t="shared" ref="W8:W19" ca="1" si="13">OFFSET($O$7,T8,0)</f>
        <v>-2.4935656435838702E-2</v>
      </c>
    </row>
    <row r="9" spans="1:23" ht="312.5">
      <c r="A9" s="120" t="s">
        <v>787</v>
      </c>
      <c r="B9" s="6" t="s">
        <v>788</v>
      </c>
      <c r="C9" s="118">
        <f>IF(cv_shift_type=1,Sensitising_Value!D29,Sensitising_Value_calcs!E9)</f>
        <v>0.12</v>
      </c>
      <c r="D9" s="121">
        <f>Sensitising_Value!D29</f>
        <v>0.12</v>
      </c>
      <c r="E9" s="41">
        <f t="shared" si="0"/>
        <v>0.12</v>
      </c>
      <c r="F9" s="6">
        <f t="shared" ref="F9:F19" si="14">F8+1</f>
        <v>2</v>
      </c>
      <c r="G9" s="46">
        <v>1582.9301684401414</v>
      </c>
      <c r="H9" s="46">
        <v>1584.9771678293482</v>
      </c>
      <c r="I9" s="46">
        <v>1580.8831690509348</v>
      </c>
      <c r="J9" s="114">
        <f t="shared" si="1"/>
        <v>1.2931710002242027E-3</v>
      </c>
      <c r="K9" s="114">
        <f t="shared" si="2"/>
        <v>-1.2931710002240589E-3</v>
      </c>
      <c r="L9" s="122">
        <f ca="1">IF(N9=N8,MATCH(N9,OFFSET($J$8,L8,0):$J$19)+L8,MATCH(N9,$J$8:$J$19,0))</f>
        <v>11</v>
      </c>
      <c r="M9" s="122" t="str">
        <f t="shared" ca="1" si="3"/>
        <v>Discount rate</v>
      </c>
      <c r="N9" s="114">
        <f t="shared" si="4"/>
        <v>1.3712937558236968E-2</v>
      </c>
      <c r="O9" s="114">
        <f t="shared" ca="1" si="5"/>
        <v>-1.3510342641514907E-2</v>
      </c>
      <c r="P9" s="123">
        <f t="shared" si="6"/>
        <v>1.3712937558236968E-2</v>
      </c>
      <c r="Q9" s="41">
        <f t="shared" si="7"/>
        <v>1.3712937558236968E-2</v>
      </c>
      <c r="R9" s="6">
        <f t="shared" si="8"/>
        <v>1</v>
      </c>
      <c r="S9" s="6">
        <f t="shared" si="9"/>
        <v>2</v>
      </c>
      <c r="T9" s="6">
        <f t="shared" si="10"/>
        <v>2</v>
      </c>
      <c r="U9" s="16" t="str">
        <f t="shared" ca="1" si="11"/>
        <v>Discount rate</v>
      </c>
      <c r="V9" s="114">
        <f t="shared" ca="1" si="12"/>
        <v>1.3712937558236968E-2</v>
      </c>
      <c r="W9" s="114">
        <f t="shared" ca="1" si="13"/>
        <v>-1.3510342641514907E-2</v>
      </c>
    </row>
    <row r="10" spans="1:23" ht="409.5">
      <c r="A10" s="120" t="s">
        <v>789</v>
      </c>
      <c r="B10" s="6" t="s">
        <v>351</v>
      </c>
      <c r="C10" s="118">
        <f>IF(cv_shift_type=1,Sensitising_Value!D30,Sensitising_Value_calcs!E10)</f>
        <v>0.06</v>
      </c>
      <c r="D10" s="121">
        <f>Sensitising_Value!D30</f>
        <v>0.06</v>
      </c>
      <c r="E10" s="41">
        <f t="shared" si="0"/>
        <v>0.06</v>
      </c>
      <c r="F10" s="6">
        <f t="shared" si="14"/>
        <v>3</v>
      </c>
      <c r="G10" s="46">
        <v>1582.9301684401414</v>
      </c>
      <c r="H10" s="46">
        <v>1582.3672436081094</v>
      </c>
      <c r="I10" s="46">
        <v>1583.4930932721736</v>
      </c>
      <c r="J10" s="114">
        <f t="shared" si="1"/>
        <v>-3.556220250617168E-4</v>
      </c>
      <c r="K10" s="114">
        <f t="shared" si="2"/>
        <v>3.556220250618604E-4</v>
      </c>
      <c r="L10" s="122">
        <f ca="1">IF(N10=N9,MATCH(N10,OFFSET($J$8,L9,0):$J$19)+L9,MATCH(N10,$J$8:$J$19,0))</f>
        <v>4</v>
      </c>
      <c r="M10" s="122" t="str">
        <f t="shared" ca="1" si="3"/>
        <v>Fixed assets / sales</v>
      </c>
      <c r="N10" s="114">
        <f t="shared" si="4"/>
        <v>1.1613710981323312E-2</v>
      </c>
      <c r="O10" s="114">
        <f t="shared" ca="1" si="5"/>
        <v>-1.1613710981324462E-2</v>
      </c>
      <c r="P10" s="123">
        <f t="shared" si="6"/>
        <v>1.1613710981323312E-2</v>
      </c>
      <c r="Q10" s="41">
        <f t="shared" si="7"/>
        <v>1.1613710981323312E-2</v>
      </c>
      <c r="R10" s="6">
        <f t="shared" si="8"/>
        <v>1</v>
      </c>
      <c r="S10" s="6">
        <f t="shared" si="9"/>
        <v>3</v>
      </c>
      <c r="T10" s="6">
        <f t="shared" si="10"/>
        <v>3</v>
      </c>
      <c r="U10" s="16" t="str">
        <f t="shared" ca="1" si="11"/>
        <v>Fixed assets / sales</v>
      </c>
      <c r="V10" s="114">
        <f t="shared" ca="1" si="12"/>
        <v>1.1613710981323312E-2</v>
      </c>
      <c r="W10" s="114">
        <f t="shared" ca="1" si="13"/>
        <v>-1.1613710981324462E-2</v>
      </c>
    </row>
    <row r="11" spans="1:23" ht="325">
      <c r="A11" s="120" t="s">
        <v>791</v>
      </c>
      <c r="B11" s="6" t="s">
        <v>792</v>
      </c>
      <c r="C11" s="118">
        <f>IF(cv_shift_type=1,Sensitising_Value!D31,Sensitising_Value_calcs!E11)</f>
        <v>0.7</v>
      </c>
      <c r="D11" s="121">
        <f>Sensitising_Value!D31</f>
        <v>0.7</v>
      </c>
      <c r="E11" s="41">
        <f t="shared" si="0"/>
        <v>0.7</v>
      </c>
      <c r="F11" s="6">
        <f t="shared" si="14"/>
        <v>4</v>
      </c>
      <c r="G11" s="46">
        <v>1582.9301684401414</v>
      </c>
      <c r="H11" s="46">
        <v>1601.3138619200226</v>
      </c>
      <c r="I11" s="46">
        <v>1564.5464749602584</v>
      </c>
      <c r="J11" s="114">
        <f t="shared" si="1"/>
        <v>1.1613710981323312E-2</v>
      </c>
      <c r="K11" s="114">
        <f t="shared" si="2"/>
        <v>-1.1613710981324462E-2</v>
      </c>
      <c r="L11" s="122">
        <f ca="1">IF(N11=N10,MATCH(N11,OFFSET($J$8,L10,0):$J$19)+L10,MATCH(N11,$J$8:$J$19,0))</f>
        <v>9</v>
      </c>
      <c r="M11" s="122" t="str">
        <f t="shared" ca="1" si="3"/>
        <v>Tax rate</v>
      </c>
      <c r="N11" s="114">
        <f t="shared" si="4"/>
        <v>8.01434580036876E-3</v>
      </c>
      <c r="O11" s="114">
        <f t="shared" ca="1" si="5"/>
        <v>-8.0143458003686177E-3</v>
      </c>
      <c r="P11" s="123">
        <f t="shared" si="6"/>
        <v>8.01434580036876E-3</v>
      </c>
      <c r="Q11" s="41">
        <f t="shared" si="7"/>
        <v>8.01434580036876E-3</v>
      </c>
      <c r="R11" s="6">
        <f t="shared" si="8"/>
        <v>1</v>
      </c>
      <c r="S11" s="6">
        <f t="shared" si="9"/>
        <v>4</v>
      </c>
      <c r="T11" s="6">
        <f t="shared" si="10"/>
        <v>4</v>
      </c>
      <c r="U11" s="16" t="str">
        <f t="shared" ca="1" si="11"/>
        <v>Tax rate</v>
      </c>
      <c r="V11" s="114">
        <f t="shared" ca="1" si="12"/>
        <v>8.01434580036876E-3</v>
      </c>
      <c r="W11" s="114">
        <f t="shared" ca="1" si="13"/>
        <v>-8.0143458003686177E-3</v>
      </c>
    </row>
    <row r="12" spans="1:23" ht="262.5">
      <c r="A12" s="120" t="s">
        <v>1353</v>
      </c>
      <c r="B12" s="6" t="s">
        <v>793</v>
      </c>
      <c r="C12" s="118">
        <f>IF(cv_shift_type=1,Sensitising_Value!M30,Sensitising_Value_calcs!E12)</f>
        <v>0.55000000000000004</v>
      </c>
      <c r="D12" s="121">
        <f>Sensitising_Value!M30</f>
        <v>0.55000000000000004</v>
      </c>
      <c r="E12" s="41">
        <f t="shared" si="0"/>
        <v>0.55000000000000004</v>
      </c>
      <c r="F12" s="6">
        <f t="shared" si="14"/>
        <v>5</v>
      </c>
      <c r="G12" s="46">
        <v>1582.9301684401414</v>
      </c>
      <c r="H12" s="46">
        <v>1622.4015712822888</v>
      </c>
      <c r="I12" s="46">
        <v>1543.4587655979938</v>
      </c>
      <c r="J12" s="114">
        <f t="shared" si="1"/>
        <v>2.493565643583856E-2</v>
      </c>
      <c r="K12" s="114">
        <f t="shared" si="2"/>
        <v>-2.4935656435838702E-2</v>
      </c>
      <c r="L12" s="122">
        <f ca="1">IF(N12=N11,MATCH(N12,OFFSET($J$8,L11,0):$J$19)+L11,MATCH(N12,$J$8:$J$19,0))</f>
        <v>6</v>
      </c>
      <c r="M12" s="122" t="str">
        <f t="shared" ca="1" si="3"/>
        <v>Depreciation</v>
      </c>
      <c r="N12" s="114">
        <f t="shared" si="4"/>
        <v>4.421313630897759E-3</v>
      </c>
      <c r="O12" s="114">
        <f t="shared" ca="1" si="5"/>
        <v>-4.421313630897184E-3</v>
      </c>
      <c r="P12" s="123">
        <f t="shared" si="6"/>
        <v>4.421313630897759E-3</v>
      </c>
      <c r="Q12" s="41">
        <f t="shared" si="7"/>
        <v>4.421313630897759E-3</v>
      </c>
      <c r="R12" s="6">
        <f t="shared" si="8"/>
        <v>0</v>
      </c>
      <c r="S12" s="6">
        <f t="shared" si="9"/>
        <v>4</v>
      </c>
      <c r="T12" s="6">
        <f t="shared" si="10"/>
        <v>12</v>
      </c>
      <c r="U12" s="16" t="str">
        <f t="shared" ca="1" si="11"/>
        <v>TVM</v>
      </c>
      <c r="V12" s="114">
        <f t="shared" ca="1" si="12"/>
        <v>-5.6694596825947003E-3</v>
      </c>
      <c r="W12" s="114">
        <f t="shared" ca="1" si="13"/>
        <v>5.6694596825948443E-3</v>
      </c>
    </row>
    <row r="13" spans="1:23" ht="200">
      <c r="A13" s="120" t="s">
        <v>794</v>
      </c>
      <c r="B13" s="6" t="s">
        <v>795</v>
      </c>
      <c r="C13" s="118">
        <f>IF(cv_shift_type=1,Sensitising_Value!H29,Sensitising_Value_calcs!E13)</f>
        <v>0.15</v>
      </c>
      <c r="D13" s="121">
        <f>Sensitising_Value!H29</f>
        <v>0.15</v>
      </c>
      <c r="E13" s="41">
        <f t="shared" si="0"/>
        <v>0.15</v>
      </c>
      <c r="F13" s="6">
        <f t="shared" si="14"/>
        <v>6</v>
      </c>
      <c r="G13" s="46">
        <v>1582.9301684401414</v>
      </c>
      <c r="H13" s="46">
        <v>1589.9287991706251</v>
      </c>
      <c r="I13" s="46">
        <v>1575.9315377096586</v>
      </c>
      <c r="J13" s="114">
        <f t="shared" si="1"/>
        <v>4.421313630897759E-3</v>
      </c>
      <c r="K13" s="114">
        <f t="shared" si="2"/>
        <v>-4.421313630897184E-3</v>
      </c>
      <c r="L13" s="122">
        <f ca="1">IF(N13=N12,MATCH(N13,OFFSET($J$8,L12,0):$J$19)+L12,MATCH(N13,$J$8:$J$19,0))</f>
        <v>2</v>
      </c>
      <c r="M13" s="122" t="str">
        <f t="shared" ca="1" si="3"/>
        <v>Curr assets / sales</v>
      </c>
      <c r="N13" s="114">
        <f t="shared" si="4"/>
        <v>1.2931710002242027E-3</v>
      </c>
      <c r="O13" s="114">
        <f t="shared" ca="1" si="5"/>
        <v>-1.2931710002240589E-3</v>
      </c>
      <c r="P13" s="123">
        <f t="shared" si="6"/>
        <v>1.2931710002242027E-3</v>
      </c>
      <c r="Q13" s="41">
        <f t="shared" si="7"/>
        <v>1.2931710002242027E-3</v>
      </c>
      <c r="R13" s="6">
        <f t="shared" si="8"/>
        <v>0</v>
      </c>
      <c r="S13" s="6">
        <f t="shared" si="9"/>
        <v>4</v>
      </c>
      <c r="T13" s="6" t="e">
        <f t="shared" si="10"/>
        <v>#N/A</v>
      </c>
      <c r="U13" s="16" t="e">
        <f t="shared" ca="1" si="11"/>
        <v>#N/A</v>
      </c>
      <c r="V13" s="114" t="e">
        <f t="shared" ca="1" si="12"/>
        <v>#N/A</v>
      </c>
      <c r="W13" s="114" t="e">
        <f t="shared" ca="1" si="13"/>
        <v>#N/A</v>
      </c>
    </row>
    <row r="14" spans="1:23" ht="225">
      <c r="A14" s="120" t="s">
        <v>796</v>
      </c>
      <c r="B14" s="6" t="s">
        <v>797</v>
      </c>
      <c r="C14" s="118">
        <f>IF(cv_shift_type=1,Sensitising_Value!M28,Sensitising_Value_calcs!E14)</f>
        <v>0.08</v>
      </c>
      <c r="D14" s="121">
        <f>Sensitising_Value!M28</f>
        <v>0.08</v>
      </c>
      <c r="E14" s="41">
        <f t="shared" si="0"/>
        <v>0.08</v>
      </c>
      <c r="F14" s="6">
        <f t="shared" si="14"/>
        <v>7</v>
      </c>
      <c r="G14" s="46">
        <v>1582.9301684401414</v>
      </c>
      <c r="H14" s="46">
        <v>1582.9301684401419</v>
      </c>
      <c r="I14" s="46">
        <v>1582.9301684401414</v>
      </c>
      <c r="J14" s="114">
        <f t="shared" si="1"/>
        <v>2.872820039399359E-16</v>
      </c>
      <c r="K14" s="114">
        <f t="shared" si="2"/>
        <v>0</v>
      </c>
      <c r="L14" s="122">
        <f ca="1">IF(N14=N13,MATCH(N14,OFFSET($J$8,L13,0):$J$19)+L13,MATCH(N14,$J$8:$J$19,0))</f>
        <v>7</v>
      </c>
      <c r="M14" s="122" t="str">
        <f t="shared" ca="1" si="3"/>
        <v>Int. on debt</v>
      </c>
      <c r="N14" s="114">
        <f t="shared" si="4"/>
        <v>2.872820039399359E-16</v>
      </c>
      <c r="O14" s="114">
        <f t="shared" ca="1" si="5"/>
        <v>0</v>
      </c>
      <c r="P14" s="123">
        <f t="shared" si="6"/>
        <v>2.872820039399359E-16</v>
      </c>
      <c r="Q14" s="41">
        <f t="shared" si="7"/>
        <v>2.872820039399359E-16</v>
      </c>
      <c r="R14" s="6">
        <f t="shared" si="8"/>
        <v>0</v>
      </c>
      <c r="S14" s="6">
        <f t="shared" si="9"/>
        <v>4</v>
      </c>
      <c r="T14" s="6" t="e">
        <f t="shared" si="10"/>
        <v>#N/A</v>
      </c>
      <c r="U14" s="16" t="e">
        <f t="shared" ca="1" si="11"/>
        <v>#N/A</v>
      </c>
      <c r="V14" s="114" t="e">
        <f t="shared" ca="1" si="12"/>
        <v>#N/A</v>
      </c>
      <c r="W14" s="114" t="e">
        <f t="shared" ca="1" si="13"/>
        <v>#N/A</v>
      </c>
    </row>
    <row r="15" spans="1:23" ht="250">
      <c r="A15" s="120" t="s">
        <v>352</v>
      </c>
      <c r="B15" s="6" t="s">
        <v>799</v>
      </c>
      <c r="C15" s="118">
        <f>IF(cv_shift_type=1,Sensitising_Value!M29,Sensitising_Value_calcs!E15)</f>
        <v>0.05</v>
      </c>
      <c r="D15" s="121">
        <f>Sensitising_Value!M29</f>
        <v>0.05</v>
      </c>
      <c r="E15" s="41">
        <f t="shared" si="0"/>
        <v>0.05</v>
      </c>
      <c r="F15" s="6">
        <f t="shared" si="14"/>
        <v>8</v>
      </c>
      <c r="G15" s="46">
        <v>1582.9301684401414</v>
      </c>
      <c r="H15" s="46">
        <v>1582.9301684401414</v>
      </c>
      <c r="I15" s="46">
        <v>1582.9301684401414</v>
      </c>
      <c r="J15" s="114">
        <f t="shared" si="1"/>
        <v>0</v>
      </c>
      <c r="K15" s="114">
        <f t="shared" si="2"/>
        <v>0</v>
      </c>
      <c r="L15" s="122">
        <f ca="1">IF(N15=N14,MATCH(N15,OFFSET($J$8,L14,0):$J$19)+L14,MATCH(N15,$J$8:$J$19,0))</f>
        <v>8</v>
      </c>
      <c r="M15" s="122" t="str">
        <f t="shared" ca="1" si="3"/>
        <v>Int. on cash</v>
      </c>
      <c r="N15" s="114">
        <f t="shared" si="4"/>
        <v>0</v>
      </c>
      <c r="O15" s="114">
        <f t="shared" ca="1" si="5"/>
        <v>0</v>
      </c>
      <c r="P15" s="123">
        <f t="shared" si="6"/>
        <v>0</v>
      </c>
      <c r="Q15" s="41">
        <f t="shared" si="7"/>
        <v>0</v>
      </c>
      <c r="R15" s="6">
        <f t="shared" si="8"/>
        <v>0</v>
      </c>
      <c r="S15" s="6">
        <f t="shared" si="9"/>
        <v>4</v>
      </c>
      <c r="T15" s="6" t="e">
        <f t="shared" si="10"/>
        <v>#N/A</v>
      </c>
      <c r="U15" s="16" t="e">
        <f t="shared" ca="1" si="11"/>
        <v>#N/A</v>
      </c>
      <c r="V15" s="114" t="e">
        <f t="shared" ca="1" si="12"/>
        <v>#N/A</v>
      </c>
      <c r="W15" s="114" t="e">
        <f t="shared" ca="1" si="13"/>
        <v>#N/A</v>
      </c>
    </row>
    <row r="16" spans="1:23" ht="87.5">
      <c r="A16" s="120" t="s">
        <v>800</v>
      </c>
      <c r="B16" s="6" t="s">
        <v>800</v>
      </c>
      <c r="C16" s="118">
        <f>IF(cv_shift_type=1,Sensitising_Value!H30,Sensitising_Value_calcs!E16)</f>
        <v>0.33</v>
      </c>
      <c r="D16" s="121">
        <f>Sensitising_Value!H30</f>
        <v>0.33</v>
      </c>
      <c r="E16" s="41">
        <f t="shared" si="0"/>
        <v>0.33</v>
      </c>
      <c r="F16" s="6">
        <f t="shared" si="14"/>
        <v>9</v>
      </c>
      <c r="G16" s="46">
        <v>1582.9301684401414</v>
      </c>
      <c r="H16" s="46">
        <v>1595.6163181878567</v>
      </c>
      <c r="I16" s="46">
        <v>1570.2440186924264</v>
      </c>
      <c r="J16" s="114">
        <f t="shared" si="1"/>
        <v>8.01434580036876E-3</v>
      </c>
      <c r="K16" s="114">
        <f t="shared" si="2"/>
        <v>-8.0143458003686177E-3</v>
      </c>
      <c r="L16" s="122">
        <f ca="1">IF(N16=N15,MATCH(N16,OFFSET($J$8,L15,0):$J$19)+L15,MATCH(N16,$J$8:$J$19,0))</f>
        <v>10</v>
      </c>
      <c r="M16" s="122" t="str">
        <f t="shared" ca="1" si="3"/>
        <v>Div payout ratio</v>
      </c>
      <c r="N16" s="114">
        <f t="shared" si="4"/>
        <v>0</v>
      </c>
      <c r="O16" s="114">
        <f t="shared" ca="1" si="5"/>
        <v>0</v>
      </c>
      <c r="P16" s="123">
        <f t="shared" si="6"/>
        <v>0</v>
      </c>
      <c r="Q16" s="41">
        <f t="shared" si="7"/>
        <v>0</v>
      </c>
      <c r="R16" s="6">
        <f t="shared" si="8"/>
        <v>0</v>
      </c>
      <c r="S16" s="6">
        <f t="shared" si="9"/>
        <v>4</v>
      </c>
      <c r="T16" s="6" t="e">
        <f t="shared" si="10"/>
        <v>#N/A</v>
      </c>
      <c r="U16" s="16" t="e">
        <f t="shared" ca="1" si="11"/>
        <v>#N/A</v>
      </c>
      <c r="V16" s="114" t="e">
        <f t="shared" ca="1" si="12"/>
        <v>#N/A</v>
      </c>
      <c r="W16" s="114" t="e">
        <f t="shared" ca="1" si="13"/>
        <v>#N/A</v>
      </c>
    </row>
    <row r="17" spans="1:23" ht="237.5">
      <c r="A17" s="120" t="s">
        <v>801</v>
      </c>
      <c r="B17" s="6" t="s">
        <v>802</v>
      </c>
      <c r="C17" s="118">
        <f>IF(cv_shift_type=1,Sensitising_Value!H31,Sensitising_Value_calcs!E17)</f>
        <v>0.55000000000000004</v>
      </c>
      <c r="D17" s="121">
        <f>Sensitising_Value!H31</f>
        <v>0.55000000000000004</v>
      </c>
      <c r="E17" s="41">
        <f t="shared" si="0"/>
        <v>0.55000000000000004</v>
      </c>
      <c r="F17" s="6">
        <f t="shared" si="14"/>
        <v>10</v>
      </c>
      <c r="G17" s="46">
        <v>1582.9301684401414</v>
      </c>
      <c r="H17" s="46">
        <v>1582.9301684401414</v>
      </c>
      <c r="I17" s="46">
        <v>1582.9301684401414</v>
      </c>
      <c r="J17" s="114">
        <f t="shared" si="1"/>
        <v>0</v>
      </c>
      <c r="K17" s="114">
        <f t="shared" si="2"/>
        <v>0</v>
      </c>
      <c r="L17" s="122">
        <f ca="1">IF(N17=N16,MATCH(N17,OFFSET($J$8,L16,0):$J$19)+L16,MATCH(N17,$J$8:$J$19,0))</f>
        <v>3</v>
      </c>
      <c r="M17" s="122" t="str">
        <f t="shared" ca="1" si="3"/>
        <v>Curr liab / COGS</v>
      </c>
      <c r="N17" s="114">
        <f t="shared" si="4"/>
        <v>-3.556220250617168E-4</v>
      </c>
      <c r="O17" s="114">
        <f t="shared" ca="1" si="5"/>
        <v>3.556220250618604E-4</v>
      </c>
      <c r="P17" s="123">
        <f t="shared" si="6"/>
        <v>-3.556220250617168E-4</v>
      </c>
      <c r="Q17" s="41">
        <f t="shared" si="7"/>
        <v>3.556220250617168E-4</v>
      </c>
      <c r="R17" s="6">
        <f t="shared" si="8"/>
        <v>0</v>
      </c>
      <c r="S17" s="6">
        <f t="shared" si="9"/>
        <v>4</v>
      </c>
      <c r="T17" s="6" t="e">
        <f t="shared" si="10"/>
        <v>#N/A</v>
      </c>
      <c r="U17" s="16" t="e">
        <f t="shared" ca="1" si="11"/>
        <v>#N/A</v>
      </c>
      <c r="V17" s="114" t="e">
        <f t="shared" ca="1" si="12"/>
        <v>#N/A</v>
      </c>
      <c r="W17" s="114" t="e">
        <f t="shared" ca="1" si="13"/>
        <v>#N/A</v>
      </c>
    </row>
    <row r="18" spans="1:23" ht="150">
      <c r="A18" s="120" t="s">
        <v>803</v>
      </c>
      <c r="B18" s="6" t="s">
        <v>803</v>
      </c>
      <c r="C18" s="118">
        <f>IF(cv_shift_type=1,Sensitising_Value!H28,Sensitising_Value_calcs!E18)</f>
        <v>0.18</v>
      </c>
      <c r="D18" s="121">
        <f>Sensitising_Value!H28</f>
        <v>0.18</v>
      </c>
      <c r="E18" s="41">
        <f t="shared" si="0"/>
        <v>0.18</v>
      </c>
      <c r="F18" s="6">
        <f t="shared" si="14"/>
        <v>11</v>
      </c>
      <c r="G18" s="46">
        <v>1582.9301684401414</v>
      </c>
      <c r="H18" s="46">
        <v>1604.6367909990106</v>
      </c>
      <c r="I18" s="46">
        <v>1561.5442394869242</v>
      </c>
      <c r="J18" s="114">
        <f t="shared" si="1"/>
        <v>1.3712937558236968E-2</v>
      </c>
      <c r="K18" s="114">
        <f t="shared" si="2"/>
        <v>-1.3510342641514907E-2</v>
      </c>
      <c r="L18" s="122">
        <f ca="1">IF(N18=N17,MATCH(N18,OFFSET($J$8,L17,0):$J$19)+L17,MATCH(N18,$J$8:$J$19,0))</f>
        <v>1</v>
      </c>
      <c r="M18" s="122" t="str">
        <f t="shared" ca="1" si="3"/>
        <v>Sales growth</v>
      </c>
      <c r="N18" s="114">
        <f t="shared" si="4"/>
        <v>-2.9324980800672475E-3</v>
      </c>
      <c r="O18" s="114">
        <f t="shared" ca="1" si="5"/>
        <v>2.9343595353200059E-3</v>
      </c>
      <c r="P18" s="123">
        <f t="shared" si="6"/>
        <v>-2.9324980800672475E-3</v>
      </c>
      <c r="Q18" s="41">
        <f t="shared" si="7"/>
        <v>2.9324980800672475E-3</v>
      </c>
      <c r="R18" s="6">
        <f t="shared" si="8"/>
        <v>0</v>
      </c>
      <c r="S18" s="6">
        <f t="shared" si="9"/>
        <v>4</v>
      </c>
      <c r="T18" s="6" t="e">
        <f t="shared" si="10"/>
        <v>#N/A</v>
      </c>
      <c r="U18" s="16" t="e">
        <f t="shared" ca="1" si="11"/>
        <v>#N/A</v>
      </c>
      <c r="V18" s="114" t="e">
        <f t="shared" ca="1" si="12"/>
        <v>#N/A</v>
      </c>
      <c r="W18" s="114" t="e">
        <f t="shared" ca="1" si="13"/>
        <v>#N/A</v>
      </c>
    </row>
    <row r="19" spans="1:23" ht="325">
      <c r="A19" s="120" t="s">
        <v>1352</v>
      </c>
      <c r="B19" s="6" t="s">
        <v>805</v>
      </c>
      <c r="C19" s="118">
        <f>IF(cv_shift_type=1,Sensitising_Value!M31,Sensitising_Value_calcs!E19)</f>
        <v>12</v>
      </c>
      <c r="D19" s="117">
        <f>Sensitising_Value!M31</f>
        <v>12</v>
      </c>
      <c r="E19" s="41">
        <f t="shared" si="0"/>
        <v>12</v>
      </c>
      <c r="F19" s="6">
        <f t="shared" si="14"/>
        <v>12</v>
      </c>
      <c r="G19" s="46">
        <v>1582.9301684401414</v>
      </c>
      <c r="H19" s="46">
        <v>1573.9558096698072</v>
      </c>
      <c r="I19" s="46">
        <v>1591.9045272104759</v>
      </c>
      <c r="J19" s="114">
        <f t="shared" si="1"/>
        <v>-5.6694596825947003E-3</v>
      </c>
      <c r="K19" s="114">
        <f t="shared" si="2"/>
        <v>5.6694596825948443E-3</v>
      </c>
      <c r="L19" s="122">
        <f ca="1">IF(N19=N18,MATCH(N19,OFFSET($J$8,L18,0):$J$19)+L18,MATCH(N19,$J$8:$J$19,0))</f>
        <v>12</v>
      </c>
      <c r="M19" s="122" t="str">
        <f t="shared" ca="1" si="3"/>
        <v>TVM</v>
      </c>
      <c r="N19" s="114">
        <f t="shared" si="4"/>
        <v>-5.6694596825947003E-3</v>
      </c>
      <c r="O19" s="114">
        <f t="shared" ca="1" si="5"/>
        <v>5.6694596825948443E-3</v>
      </c>
      <c r="P19" s="123">
        <f t="shared" si="6"/>
        <v>-5.6694596825947003E-3</v>
      </c>
      <c r="Q19" s="41">
        <f t="shared" si="7"/>
        <v>5.6694596825947003E-3</v>
      </c>
      <c r="R19" s="6">
        <f t="shared" si="8"/>
        <v>1</v>
      </c>
      <c r="S19" s="6">
        <f t="shared" si="9"/>
        <v>5</v>
      </c>
      <c r="T19" s="6" t="e">
        <f t="shared" si="10"/>
        <v>#N/A</v>
      </c>
      <c r="U19" s="16" t="e">
        <f t="shared" ca="1" si="11"/>
        <v>#N/A</v>
      </c>
      <c r="V19" s="114" t="e">
        <f t="shared" ca="1" si="12"/>
        <v>#N/A</v>
      </c>
      <c r="W19" s="114" t="e">
        <f t="shared" ca="1" si="13"/>
        <v>#N/A</v>
      </c>
    </row>
    <row r="21" spans="1:23">
      <c r="A21" s="6" t="e">
        <f ca="1">_xludf.EOMONTH()</f>
        <v>#NAME?</v>
      </c>
    </row>
  </sheetData>
  <sheetProtection algorithmName="SHA-512" hashValue="7lGdit++aNrIsgoDcEj4yUGhENlTVKaQVK47BYvsXJOeXDvNkWV6Qh1fR+l8PRdcyl/ay/qE+LhvykwKX+UTAg==" saltValue="917GAlq/ff1TaFc72rRnog==" spinCount="100000" sheet="1" objects="1" scenarios="1"/>
  <phoneticPr fontId="2" type="noConversion"/>
  <conditionalFormatting sqref="Y7">
    <cfRule type="expression" dxfId="49" priority="1" stopIfTrue="1">
      <formula>Y$2&lt;&gt;#REF!</formula>
    </cfRule>
    <cfRule type="expression" dxfId="48" priority="2" stopIfTrue="1">
      <formula>Y$2=#REF!</formula>
    </cfRule>
  </conditionalFormatting>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dimension ref="C1:Y24"/>
  <sheetViews>
    <sheetView workbookViewId="0">
      <selection activeCell="E5" sqref="E5"/>
    </sheetView>
  </sheetViews>
  <sheetFormatPr defaultRowHeight="12.5"/>
  <cols>
    <col min="1" max="2" width="1" customWidth="1"/>
  </cols>
  <sheetData>
    <row r="1" spans="3:24" s="19" customFormat="1">
      <c r="C1" s="25"/>
      <c r="D1" s="25"/>
      <c r="E1" s="25"/>
      <c r="F1" s="25"/>
      <c r="G1" s="25"/>
      <c r="H1" s="25"/>
      <c r="I1" s="25"/>
      <c r="J1" s="25"/>
      <c r="K1" s="25"/>
      <c r="L1" s="25"/>
      <c r="M1" s="25"/>
      <c r="N1" s="25"/>
      <c r="O1" s="25"/>
      <c r="P1" s="25"/>
      <c r="Q1" s="25"/>
      <c r="R1" s="25"/>
      <c r="S1" s="25"/>
      <c r="T1" s="25"/>
      <c r="U1" s="25"/>
      <c r="V1" s="25"/>
      <c r="W1" s="25"/>
      <c r="X1" s="25"/>
    </row>
    <row r="2" spans="3:24" s="19" customFormat="1">
      <c r="C2" s="25"/>
      <c r="D2" s="26" t="str">
        <f>RIGHT(RateSensitising!F43)</f>
        <v>1</v>
      </c>
      <c r="E2" s="25"/>
      <c r="F2" s="25"/>
      <c r="G2" s="132">
        <f>SUM(RateSensitising!H43:H48)</f>
        <v>0</v>
      </c>
      <c r="H2" s="132">
        <f>SUM(RateSensitising!I43:I48)</f>
        <v>0</v>
      </c>
      <c r="I2" s="132">
        <f>SUM(RateSensitising!J43:J48)</f>
        <v>2</v>
      </c>
      <c r="J2" s="132">
        <f>SUM(RateSensitising!K43:K48)</f>
        <v>0</v>
      </c>
      <c r="K2" s="132">
        <f>SUM(RateSensitising!L43:L48)</f>
        <v>0</v>
      </c>
      <c r="L2" s="132">
        <f>SUM(RateSensitising!M43:M48)</f>
        <v>0</v>
      </c>
      <c r="M2" s="132">
        <f>SUM(RateSensitising!N43:N48)</f>
        <v>2</v>
      </c>
      <c r="N2" s="132">
        <f>SUM(RateSensitising!O43:O48)</f>
        <v>0</v>
      </c>
      <c r="O2" s="132">
        <f>SUM(RateSensitising!P43:P48)</f>
        <v>0</v>
      </c>
      <c r="P2" s="132">
        <f>SUM(RateSensitising!Q43:Q48)</f>
        <v>0</v>
      </c>
      <c r="Q2" s="132">
        <f>SUM(RateSensitising!R43:R48)</f>
        <v>2</v>
      </c>
      <c r="R2" s="132">
        <f>SUM(RateSensitising!S43:S48)</f>
        <v>0</v>
      </c>
      <c r="S2" s="132">
        <f>SUM(RateSensitising!T43:T48)</f>
        <v>0</v>
      </c>
      <c r="T2" s="132">
        <f>SUM(RateSensitising!U43:U48)</f>
        <v>0</v>
      </c>
      <c r="U2" s="132">
        <f>SUM(RateSensitising!V43:V48)</f>
        <v>2</v>
      </c>
      <c r="V2" s="132">
        <f>SUM(RateSensitising!W43:W48)</f>
        <v>0</v>
      </c>
      <c r="W2" s="25"/>
      <c r="X2" s="25"/>
    </row>
    <row r="3" spans="3:24" s="19" customFormat="1">
      <c r="C3" s="25"/>
      <c r="D3" s="26" t="str">
        <f>RIGHT(RateSensitising!F44)</f>
        <v>4</v>
      </c>
      <c r="E3" s="25"/>
      <c r="F3" s="25"/>
      <c r="G3" s="25"/>
      <c r="H3" s="25"/>
      <c r="I3" s="25"/>
      <c r="J3" s="25"/>
      <c r="K3" s="25"/>
      <c r="L3" s="25"/>
      <c r="M3" s="25"/>
      <c r="N3" s="25"/>
      <c r="O3" s="25"/>
      <c r="P3" s="25"/>
      <c r="Q3" s="25"/>
      <c r="R3" s="25"/>
      <c r="S3" s="25"/>
      <c r="T3" s="25"/>
      <c r="U3" s="25"/>
      <c r="V3" s="25"/>
      <c r="W3" s="25"/>
      <c r="X3" s="25"/>
    </row>
    <row r="4" spans="3:24" s="19" customFormat="1">
      <c r="C4" s="25"/>
      <c r="D4" s="26" t="str">
        <f>RIGHT(RateSensitising!F45)</f>
        <v>3</v>
      </c>
      <c r="E4" s="25"/>
      <c r="F4" s="25">
        <v>0</v>
      </c>
      <c r="G4" s="25">
        <f t="shared" ref="G4:V4" si="0">F4+1</f>
        <v>1</v>
      </c>
      <c r="H4" s="25">
        <f t="shared" si="0"/>
        <v>2</v>
      </c>
      <c r="I4" s="25">
        <f t="shared" si="0"/>
        <v>3</v>
      </c>
      <c r="J4" s="25">
        <f t="shared" si="0"/>
        <v>4</v>
      </c>
      <c r="K4" s="25">
        <f t="shared" si="0"/>
        <v>5</v>
      </c>
      <c r="L4" s="25">
        <f t="shared" si="0"/>
        <v>6</v>
      </c>
      <c r="M4" s="25">
        <f t="shared" si="0"/>
        <v>7</v>
      </c>
      <c r="N4" s="25">
        <f t="shared" si="0"/>
        <v>8</v>
      </c>
      <c r="O4" s="25">
        <f t="shared" si="0"/>
        <v>9</v>
      </c>
      <c r="P4" s="25">
        <f t="shared" si="0"/>
        <v>10</v>
      </c>
      <c r="Q4" s="25">
        <f t="shared" si="0"/>
        <v>11</v>
      </c>
      <c r="R4" s="25">
        <f t="shared" si="0"/>
        <v>12</v>
      </c>
      <c r="S4" s="25">
        <f t="shared" si="0"/>
        <v>13</v>
      </c>
      <c r="T4" s="25">
        <f t="shared" si="0"/>
        <v>14</v>
      </c>
      <c r="U4" s="25">
        <f t="shared" si="0"/>
        <v>15</v>
      </c>
      <c r="V4" s="25">
        <f t="shared" si="0"/>
        <v>16</v>
      </c>
      <c r="W4" s="25"/>
      <c r="X4" s="25"/>
    </row>
    <row r="5" spans="3:24" s="19" customFormat="1">
      <c r="C5" s="25"/>
      <c r="D5" s="26" t="str">
        <f>RIGHT(RateSensitising!F46)</f>
        <v>1</v>
      </c>
      <c r="E5" s="25">
        <f t="array" aca="1" ref="E5" ca="1">SUM(G2:V2/(1+G20:V20/4)^(G21:V21-$G$21+1))</f>
        <v>6.8530334108782238</v>
      </c>
      <c r="F5" s="25">
        <f t="dataTable" ref="F5:V5" dt2D="0" dtr="1" r1="H8" ca="1"/>
        <v>6.8530334108782238</v>
      </c>
      <c r="G5" s="25">
        <v>6.8530334108782238</v>
      </c>
      <c r="H5" s="25">
        <v>6.8530334108782238</v>
      </c>
      <c r="I5" s="25">
        <v>6.8389976253704461</v>
      </c>
      <c r="J5" s="25">
        <v>6.8530334108782238</v>
      </c>
      <c r="K5" s="25">
        <v>6.8530334108782238</v>
      </c>
      <c r="L5" s="25">
        <v>6.8530334108782238</v>
      </c>
      <c r="M5" s="25">
        <v>6.8227237013146009</v>
      </c>
      <c r="N5" s="25">
        <v>6.8530334108782238</v>
      </c>
      <c r="O5" s="25">
        <v>6.8530334108782238</v>
      </c>
      <c r="P5" s="25">
        <v>6.8530334108782238</v>
      </c>
      <c r="Q5" s="25">
        <v>6.8092285434740898</v>
      </c>
      <c r="R5" s="25">
        <v>6.8530334108782238</v>
      </c>
      <c r="S5" s="25">
        <v>6.8530334108782238</v>
      </c>
      <c r="T5" s="25">
        <v>6.8530334108782238</v>
      </c>
      <c r="U5" s="25">
        <v>6.7981815429312231</v>
      </c>
      <c r="V5" s="25">
        <v>6.8530334108782238</v>
      </c>
      <c r="W5" s="25"/>
      <c r="X5" s="25"/>
    </row>
    <row r="6" spans="3:24" s="19" customFormat="1">
      <c r="C6" s="25"/>
      <c r="D6" s="26" t="str">
        <f>RIGHT(RateSensitising!F47)</f>
        <v>3</v>
      </c>
      <c r="E6" s="25"/>
      <c r="F6" s="25"/>
      <c r="G6" s="133">
        <f t="shared" ref="G6:V6" si="1">(G5-$F$5)*1000</f>
        <v>0</v>
      </c>
      <c r="H6" s="133">
        <f t="shared" si="1"/>
        <v>0</v>
      </c>
      <c r="I6" s="133">
        <f t="shared" si="1"/>
        <v>-14.035785507777732</v>
      </c>
      <c r="J6" s="133">
        <f t="shared" si="1"/>
        <v>0</v>
      </c>
      <c r="K6" s="133">
        <f t="shared" si="1"/>
        <v>0</v>
      </c>
      <c r="L6" s="133">
        <f t="shared" si="1"/>
        <v>0</v>
      </c>
      <c r="M6" s="133">
        <f t="shared" si="1"/>
        <v>-30.309709563622889</v>
      </c>
      <c r="N6" s="133">
        <f t="shared" si="1"/>
        <v>0</v>
      </c>
      <c r="O6" s="133">
        <f t="shared" si="1"/>
        <v>0</v>
      </c>
      <c r="P6" s="133">
        <f t="shared" si="1"/>
        <v>0</v>
      </c>
      <c r="Q6" s="133">
        <f t="shared" si="1"/>
        <v>-43.804867404134029</v>
      </c>
      <c r="R6" s="133">
        <f t="shared" si="1"/>
        <v>0</v>
      </c>
      <c r="S6" s="133">
        <f t="shared" si="1"/>
        <v>0</v>
      </c>
      <c r="T6" s="133">
        <f t="shared" si="1"/>
        <v>0</v>
      </c>
      <c r="U6" s="133">
        <f t="shared" si="1"/>
        <v>-54.851867947000699</v>
      </c>
      <c r="V6" s="133">
        <f t="shared" si="1"/>
        <v>0</v>
      </c>
      <c r="W6" s="25"/>
      <c r="X6" s="25"/>
    </row>
    <row r="7" spans="3:24" s="19" customFormat="1">
      <c r="C7" s="25"/>
      <c r="D7" s="26" t="str">
        <f>RIGHT(RateSensitising!F48)</f>
        <v>3</v>
      </c>
      <c r="E7" s="25"/>
      <c r="F7" s="25"/>
      <c r="G7" s="25"/>
      <c r="H7" s="25"/>
      <c r="I7" s="25"/>
      <c r="J7" s="25"/>
      <c r="K7" s="25"/>
      <c r="L7" s="25"/>
      <c r="M7" s="25"/>
      <c r="N7" s="25"/>
      <c r="O7" s="25"/>
      <c r="P7" s="25"/>
      <c r="Q7" s="25"/>
      <c r="R7" s="25"/>
      <c r="S7" s="25"/>
      <c r="T7" s="25"/>
      <c r="U7" s="25"/>
      <c r="V7" s="25"/>
      <c r="W7" s="25"/>
      <c r="X7" s="25"/>
    </row>
    <row r="8" spans="3:24" s="19" customFormat="1">
      <c r="C8" s="25"/>
      <c r="D8" s="25"/>
      <c r="E8" s="25" t="s">
        <v>1531</v>
      </c>
      <c r="F8" s="25"/>
      <c r="G8" s="25"/>
      <c r="H8" s="134">
        <v>1</v>
      </c>
      <c r="I8" s="25"/>
      <c r="J8" s="25"/>
      <c r="K8" s="25"/>
      <c r="L8" s="25"/>
      <c r="M8" s="25"/>
      <c r="N8" s="25"/>
      <c r="O8" s="25"/>
      <c r="P8" s="25"/>
      <c r="Q8" s="25"/>
      <c r="R8" s="25"/>
      <c r="S8" s="25"/>
      <c r="T8" s="25"/>
      <c r="U8" s="25"/>
      <c r="V8" s="25"/>
      <c r="W8" s="25"/>
      <c r="X8" s="25"/>
    </row>
    <row r="9" spans="3:24" s="19" customFormat="1">
      <c r="C9" s="25"/>
      <c r="D9" s="25"/>
      <c r="E9" s="25"/>
      <c r="F9" s="25"/>
      <c r="G9" s="25"/>
      <c r="H9" s="25"/>
      <c r="I9" s="25"/>
      <c r="J9" s="25"/>
      <c r="K9" s="25"/>
      <c r="L9" s="25"/>
      <c r="M9" s="25"/>
      <c r="N9" s="25"/>
      <c r="O9" s="25"/>
      <c r="P9" s="25"/>
      <c r="Q9" s="25"/>
      <c r="R9" s="25"/>
      <c r="S9" s="25"/>
      <c r="T9" s="25"/>
      <c r="U9" s="25"/>
      <c r="V9" s="25"/>
      <c r="W9" s="25"/>
      <c r="X9" s="25"/>
    </row>
    <row r="10" spans="3:24" s="19" customFormat="1">
      <c r="D10" s="25"/>
      <c r="E10" s="25"/>
      <c r="F10" s="25"/>
      <c r="G10" s="25"/>
      <c r="H10" s="25"/>
      <c r="I10" s="25"/>
      <c r="J10" s="25"/>
      <c r="K10" s="25"/>
      <c r="L10" s="25"/>
      <c r="M10" s="25"/>
      <c r="N10" s="25"/>
      <c r="O10" s="25"/>
      <c r="P10" s="25"/>
      <c r="Q10" s="25"/>
      <c r="R10" s="25"/>
      <c r="S10" s="25"/>
      <c r="T10" s="25"/>
      <c r="U10" s="25"/>
      <c r="V10" s="25"/>
      <c r="W10" s="25"/>
      <c r="X10" s="25"/>
    </row>
    <row r="11" spans="3:24" s="19" customFormat="1">
      <c r="D11" s="25"/>
      <c r="E11" s="25" t="s">
        <v>1524</v>
      </c>
      <c r="F11" s="25"/>
      <c r="G11" s="25"/>
      <c r="H11" s="25"/>
      <c r="I11" s="25"/>
      <c r="J11" s="25"/>
      <c r="K11" s="25"/>
      <c r="L11" s="25"/>
      <c r="M11" s="25"/>
      <c r="N11" s="25"/>
      <c r="O11" s="25"/>
      <c r="P11" s="135"/>
      <c r="Q11" s="135"/>
      <c r="R11" s="135"/>
      <c r="S11" s="135"/>
      <c r="T11" s="135"/>
      <c r="U11" s="135"/>
      <c r="V11" s="135"/>
      <c r="W11" s="25"/>
      <c r="X11" s="25"/>
    </row>
    <row r="12" spans="3:24" s="19" customFormat="1">
      <c r="D12" s="25"/>
      <c r="E12" s="25" t="s">
        <v>1525</v>
      </c>
      <c r="F12" s="25"/>
      <c r="G12" s="132">
        <f>IF(RateSensitising!H25&gt;0,G21,0)</f>
        <v>0</v>
      </c>
      <c r="H12" s="132">
        <f>IF(RateSensitising!I25&gt;0,H21,0)</f>
        <v>2</v>
      </c>
      <c r="I12" s="132">
        <f>IF(RateSensitising!J25&gt;0,I21,0)</f>
        <v>0</v>
      </c>
      <c r="J12" s="132">
        <f>IF(RateSensitising!K25&gt;0,J21,0)</f>
        <v>4</v>
      </c>
      <c r="K12" s="132">
        <f>IF(RateSensitising!L25&gt;0,K21,0)</f>
        <v>0</v>
      </c>
      <c r="L12" s="132">
        <f>IF(RateSensitising!M25&gt;0,L21,0)</f>
        <v>0</v>
      </c>
      <c r="M12" s="132">
        <f>IF(RateSensitising!N25&gt;0,M21,0)</f>
        <v>0</v>
      </c>
      <c r="N12" s="132">
        <f>IF(RateSensitising!O25&gt;0,N21,0)</f>
        <v>0</v>
      </c>
      <c r="O12" s="132">
        <f>IF(RateSensitising!P25&gt;0,O21,0)</f>
        <v>9</v>
      </c>
      <c r="P12" s="132">
        <f>IF(RateSensitising!Q25&gt;0,P21,0)</f>
        <v>0</v>
      </c>
      <c r="Q12" s="132">
        <f>IF(RateSensitising!R25&gt;0,Q21,0)</f>
        <v>0</v>
      </c>
      <c r="R12" s="132">
        <f>IF(RateSensitising!S25&gt;0,R21,0)</f>
        <v>0</v>
      </c>
      <c r="S12" s="132">
        <f>IF(RateSensitising!T25&gt;0,S21,0)</f>
        <v>0</v>
      </c>
      <c r="T12" s="132">
        <f>IF(RateSensitising!U25&gt;0,T21,0)</f>
        <v>14</v>
      </c>
      <c r="U12" s="132">
        <f>IF(RateSensitising!V25&gt;0,U21,0)</f>
        <v>0</v>
      </c>
      <c r="V12" s="132">
        <f>IF(RateSensitising!W25&gt;0,V21,0)</f>
        <v>0</v>
      </c>
      <c r="W12" s="25"/>
      <c r="X12" s="25"/>
    </row>
    <row r="13" spans="3:24" s="19" customFormat="1">
      <c r="D13" s="25"/>
      <c r="E13" s="25" t="s">
        <v>1526</v>
      </c>
      <c r="F13" s="25"/>
      <c r="G13" s="132">
        <f>MAX($G12:G12)</f>
        <v>0</v>
      </c>
      <c r="H13" s="132">
        <f>MAX($G12:H12)</f>
        <v>2</v>
      </c>
      <c r="I13" s="132">
        <f>MAX($G12:I12)</f>
        <v>2</v>
      </c>
      <c r="J13" s="132">
        <f>MAX($G12:J12)</f>
        <v>4</v>
      </c>
      <c r="K13" s="132">
        <f>MAX($G12:K12)</f>
        <v>4</v>
      </c>
      <c r="L13" s="132">
        <f>MAX($G12:L12)</f>
        <v>4</v>
      </c>
      <c r="M13" s="132">
        <f>MAX($G12:M12)</f>
        <v>4</v>
      </c>
      <c r="N13" s="132">
        <f>MAX($G12:N12)</f>
        <v>4</v>
      </c>
      <c r="O13" s="132">
        <f>MAX($G12:O12)</f>
        <v>9</v>
      </c>
      <c r="P13" s="132">
        <f>MAX($G12:P12)</f>
        <v>9</v>
      </c>
      <c r="Q13" s="132">
        <f>MAX($G12:Q12)</f>
        <v>9</v>
      </c>
      <c r="R13" s="132">
        <f>MAX($G12:R12)</f>
        <v>9</v>
      </c>
      <c r="S13" s="132">
        <f>MAX($G12:S12)</f>
        <v>9</v>
      </c>
      <c r="T13" s="132">
        <f>MAX($G12:T12)</f>
        <v>14</v>
      </c>
      <c r="U13" s="132">
        <f>MAX($G12:U12)</f>
        <v>14</v>
      </c>
      <c r="V13" s="132">
        <f>MAX($G12:V12)</f>
        <v>14</v>
      </c>
      <c r="W13" s="25"/>
      <c r="X13" s="25"/>
    </row>
    <row r="14" spans="3:24" s="19" customFormat="1">
      <c r="D14" s="25"/>
      <c r="E14" s="25"/>
      <c r="F14" s="25"/>
      <c r="G14" s="25">
        <f t="shared" ref="G14:V14" si="2">MATCH(G21,$G$13:$V$13,1)</f>
        <v>1</v>
      </c>
      <c r="H14" s="25">
        <f t="shared" si="2"/>
        <v>3</v>
      </c>
      <c r="I14" s="25">
        <f t="shared" si="2"/>
        <v>3</v>
      </c>
      <c r="J14" s="25">
        <f t="shared" si="2"/>
        <v>8</v>
      </c>
      <c r="K14" s="25">
        <f t="shared" si="2"/>
        <v>8</v>
      </c>
      <c r="L14" s="25">
        <f t="shared" si="2"/>
        <v>8</v>
      </c>
      <c r="M14" s="25">
        <f t="shared" si="2"/>
        <v>8</v>
      </c>
      <c r="N14" s="25">
        <f t="shared" si="2"/>
        <v>8</v>
      </c>
      <c r="O14" s="25">
        <f t="shared" si="2"/>
        <v>13</v>
      </c>
      <c r="P14" s="25">
        <f t="shared" si="2"/>
        <v>13</v>
      </c>
      <c r="Q14" s="25">
        <f t="shared" si="2"/>
        <v>13</v>
      </c>
      <c r="R14" s="25">
        <f t="shared" si="2"/>
        <v>13</v>
      </c>
      <c r="S14" s="25">
        <f t="shared" si="2"/>
        <v>13</v>
      </c>
      <c r="T14" s="25">
        <f t="shared" si="2"/>
        <v>16</v>
      </c>
      <c r="U14" s="25">
        <f t="shared" si="2"/>
        <v>16</v>
      </c>
      <c r="V14" s="25">
        <f t="shared" si="2"/>
        <v>16</v>
      </c>
      <c r="W14" s="25"/>
      <c r="X14" s="25"/>
    </row>
    <row r="15" spans="3:24" s="19" customFormat="1">
      <c r="D15" s="25"/>
      <c r="E15" s="25" t="s">
        <v>1527</v>
      </c>
      <c r="F15" s="25"/>
      <c r="G15" s="25">
        <f t="shared" ref="G15:V15" ca="1" si="3">OFFSET($G$13,0,G14)</f>
        <v>2</v>
      </c>
      <c r="H15" s="25">
        <f t="shared" ca="1" si="3"/>
        <v>4</v>
      </c>
      <c r="I15" s="25">
        <f t="shared" ca="1" si="3"/>
        <v>4</v>
      </c>
      <c r="J15" s="25">
        <f t="shared" ca="1" si="3"/>
        <v>9</v>
      </c>
      <c r="K15" s="25">
        <f t="shared" ca="1" si="3"/>
        <v>9</v>
      </c>
      <c r="L15" s="25">
        <f t="shared" ca="1" si="3"/>
        <v>9</v>
      </c>
      <c r="M15" s="25">
        <f t="shared" ca="1" si="3"/>
        <v>9</v>
      </c>
      <c r="N15" s="25">
        <f t="shared" ca="1" si="3"/>
        <v>9</v>
      </c>
      <c r="O15" s="25">
        <f t="shared" ca="1" si="3"/>
        <v>14</v>
      </c>
      <c r="P15" s="25">
        <f t="shared" ca="1" si="3"/>
        <v>14</v>
      </c>
      <c r="Q15" s="25">
        <f t="shared" ca="1" si="3"/>
        <v>14</v>
      </c>
      <c r="R15" s="25">
        <f t="shared" ca="1" si="3"/>
        <v>14</v>
      </c>
      <c r="S15" s="25">
        <f t="shared" ca="1" si="3"/>
        <v>14</v>
      </c>
      <c r="T15" s="25">
        <f t="shared" ca="1" si="3"/>
        <v>0</v>
      </c>
      <c r="U15" s="25">
        <f t="shared" ca="1" si="3"/>
        <v>0</v>
      </c>
      <c r="V15" s="25">
        <f t="shared" ca="1" si="3"/>
        <v>0</v>
      </c>
      <c r="W15" s="25"/>
      <c r="X15" s="25"/>
    </row>
    <row r="16" spans="3:24" s="19" customFormat="1">
      <c r="D16" s="25"/>
      <c r="E16" s="25" t="s">
        <v>1528</v>
      </c>
      <c r="F16" s="25"/>
      <c r="G16" s="136">
        <f ca="1">OFFSET(RateSensitising!$H$25,0,G13-1)</f>
        <v>0</v>
      </c>
      <c r="H16" s="136">
        <f ca="1">OFFSET(RateSensitising!$H$25,0,H13-1)</f>
        <v>0.06</v>
      </c>
      <c r="I16" s="136">
        <f ca="1">OFFSET(RateSensitising!$H$25,0,I13-1)</f>
        <v>0.06</v>
      </c>
      <c r="J16" s="136">
        <f ca="1">OFFSET(RateSensitising!$H$25,0,J13-1)</f>
        <v>6.4000000000000001E-2</v>
      </c>
      <c r="K16" s="136">
        <f ca="1">OFFSET(RateSensitising!$H$25,0,K13-1)</f>
        <v>6.4000000000000001E-2</v>
      </c>
      <c r="L16" s="136">
        <f ca="1">OFFSET(RateSensitising!$H$25,0,L13-1)</f>
        <v>6.4000000000000001E-2</v>
      </c>
      <c r="M16" s="136">
        <f ca="1">OFFSET(RateSensitising!$H$25,0,M13-1)</f>
        <v>6.4000000000000001E-2</v>
      </c>
      <c r="N16" s="136">
        <f ca="1">OFFSET(RateSensitising!$H$25,0,N13-1)</f>
        <v>6.4000000000000001E-2</v>
      </c>
      <c r="O16" s="136">
        <f ca="1">OFFSET(RateSensitising!$H$25,0,O13-1)</f>
        <v>7.0000000000000007E-2</v>
      </c>
      <c r="P16" s="136">
        <f ca="1">OFFSET(RateSensitising!$H$25,0,P13-1)</f>
        <v>7.0000000000000007E-2</v>
      </c>
      <c r="Q16" s="136">
        <f ca="1">OFFSET(RateSensitising!$H$25,0,Q13-1)</f>
        <v>7.0000000000000007E-2</v>
      </c>
      <c r="R16" s="136">
        <f ca="1">OFFSET(RateSensitising!$H$25,0,R13-1)</f>
        <v>7.0000000000000007E-2</v>
      </c>
      <c r="S16" s="136">
        <f ca="1">OFFSET(RateSensitising!$H$25,0,S13-1)</f>
        <v>7.0000000000000007E-2</v>
      </c>
      <c r="T16" s="136">
        <f ca="1">OFFSET(RateSensitising!$H$25,0,T13-1)</f>
        <v>7.400000000000001E-2</v>
      </c>
      <c r="U16" s="136">
        <f ca="1">OFFSET(RateSensitising!$H$25,0,U13-1)</f>
        <v>7.400000000000001E-2</v>
      </c>
      <c r="V16" s="136">
        <f ca="1">OFFSET(RateSensitising!$H$25,0,V13-1)</f>
        <v>7.400000000000001E-2</v>
      </c>
      <c r="W16" s="25"/>
      <c r="X16" s="25"/>
    </row>
    <row r="17" spans="3:25" s="19" customFormat="1">
      <c r="D17" s="25"/>
      <c r="E17" s="25" t="s">
        <v>1529</v>
      </c>
      <c r="F17" s="25"/>
      <c r="G17" s="136">
        <f ca="1">OFFSET(RateSensitising!$H$25,0,G15-1)</f>
        <v>0.06</v>
      </c>
      <c r="H17" s="136">
        <f ca="1">OFFSET(RateSensitising!$H$25,0,H15-1)</f>
        <v>6.4000000000000001E-2</v>
      </c>
      <c r="I17" s="136">
        <f ca="1">OFFSET(RateSensitising!$H$25,0,I15-1)</f>
        <v>6.4000000000000001E-2</v>
      </c>
      <c r="J17" s="136">
        <f ca="1">OFFSET(RateSensitising!$H$25,0,J15-1)</f>
        <v>7.0000000000000007E-2</v>
      </c>
      <c r="K17" s="136">
        <f ca="1">OFFSET(RateSensitising!$H$25,0,K15-1)</f>
        <v>7.0000000000000007E-2</v>
      </c>
      <c r="L17" s="136">
        <f ca="1">OFFSET(RateSensitising!$H$25,0,L15-1)</f>
        <v>7.0000000000000007E-2</v>
      </c>
      <c r="M17" s="136">
        <f ca="1">OFFSET(RateSensitising!$H$25,0,M15-1)</f>
        <v>7.0000000000000007E-2</v>
      </c>
      <c r="N17" s="136">
        <f ca="1">OFFSET(RateSensitising!$H$25,0,N15-1)</f>
        <v>7.0000000000000007E-2</v>
      </c>
      <c r="O17" s="136">
        <f ca="1">OFFSET(RateSensitising!$H$25,0,O15-1)</f>
        <v>7.400000000000001E-2</v>
      </c>
      <c r="P17" s="136">
        <f ca="1">OFFSET(RateSensitising!$H$25,0,P15-1)</f>
        <v>7.400000000000001E-2</v>
      </c>
      <c r="Q17" s="136">
        <f ca="1">OFFSET(RateSensitising!$H$25,0,Q15-1)</f>
        <v>7.400000000000001E-2</v>
      </c>
      <c r="R17" s="136">
        <f ca="1">OFFSET(RateSensitising!$H$25,0,R15-1)</f>
        <v>7.400000000000001E-2</v>
      </c>
      <c r="S17" s="136">
        <f ca="1">OFFSET(RateSensitising!$H$25,0,S15-1)</f>
        <v>7.400000000000001E-2</v>
      </c>
      <c r="T17" s="136">
        <f ca="1">OFFSET(RateSensitising!$H$25,0,T15-1)</f>
        <v>0</v>
      </c>
      <c r="U17" s="136">
        <f ca="1">OFFSET(RateSensitising!$H$25,0,U15-1)</f>
        <v>0</v>
      </c>
      <c r="V17" s="136">
        <f ca="1">OFFSET(RateSensitising!$H$25,0,V15-1)</f>
        <v>0</v>
      </c>
      <c r="W17" s="25"/>
      <c r="X17" s="25"/>
    </row>
    <row r="18" spans="3:25" s="19" customFormat="1">
      <c r="D18" s="25"/>
      <c r="E18" s="25"/>
      <c r="F18" s="25"/>
      <c r="G18" s="137"/>
      <c r="H18" s="137"/>
      <c r="I18" s="137"/>
      <c r="J18" s="137"/>
      <c r="K18" s="137"/>
      <c r="L18" s="137"/>
      <c r="M18" s="137"/>
      <c r="N18" s="137"/>
      <c r="O18" s="137"/>
      <c r="P18" s="137"/>
      <c r="Q18" s="137"/>
      <c r="R18" s="137"/>
      <c r="S18" s="137"/>
      <c r="T18" s="137"/>
      <c r="U18" s="137"/>
      <c r="V18" s="137"/>
      <c r="W18" s="25"/>
      <c r="X18" s="25"/>
    </row>
    <row r="19" spans="3:25" s="19" customFormat="1">
      <c r="C19" s="25"/>
      <c r="D19" s="25"/>
      <c r="E19" s="25" t="s">
        <v>1523</v>
      </c>
      <c r="F19" s="25"/>
      <c r="G19" s="136">
        <f ca="1">IF(G13=0,G17,IF(G15=0,G16,"to do"))</f>
        <v>0.06</v>
      </c>
      <c r="H19" s="136">
        <f t="shared" ref="H19:V19" ca="1" si="4">IF(H13=0,H17,IF(H15=0,H16,H16+(H17-H16)/(H15-H13)*(H21-H13)))</f>
        <v>0.06</v>
      </c>
      <c r="I19" s="136">
        <f t="shared" ca="1" si="4"/>
        <v>6.2E-2</v>
      </c>
      <c r="J19" s="136">
        <f t="shared" ca="1" si="4"/>
        <v>6.4000000000000001E-2</v>
      </c>
      <c r="K19" s="136">
        <f t="shared" ca="1" si="4"/>
        <v>6.5200000000000008E-2</v>
      </c>
      <c r="L19" s="136">
        <f t="shared" ca="1" si="4"/>
        <v>6.6400000000000001E-2</v>
      </c>
      <c r="M19" s="136">
        <f t="shared" ca="1" si="4"/>
        <v>6.7600000000000007E-2</v>
      </c>
      <c r="N19" s="136">
        <f t="shared" ca="1" si="4"/>
        <v>6.88E-2</v>
      </c>
      <c r="O19" s="136">
        <f t="shared" ca="1" si="4"/>
        <v>7.0000000000000007E-2</v>
      </c>
      <c r="P19" s="136">
        <f t="shared" ca="1" si="4"/>
        <v>7.0800000000000002E-2</v>
      </c>
      <c r="Q19" s="136">
        <f t="shared" ca="1" si="4"/>
        <v>7.1600000000000011E-2</v>
      </c>
      <c r="R19" s="136">
        <f t="shared" ca="1" si="4"/>
        <v>7.2400000000000006E-2</v>
      </c>
      <c r="S19" s="136">
        <f t="shared" ca="1" si="4"/>
        <v>7.3200000000000015E-2</v>
      </c>
      <c r="T19" s="136">
        <f t="shared" ca="1" si="4"/>
        <v>7.400000000000001E-2</v>
      </c>
      <c r="U19" s="136">
        <f t="shared" ca="1" si="4"/>
        <v>7.400000000000001E-2</v>
      </c>
      <c r="V19" s="136">
        <f t="shared" ca="1" si="4"/>
        <v>7.400000000000001E-2</v>
      </c>
      <c r="W19" s="25"/>
      <c r="X19" s="25"/>
    </row>
    <row r="20" spans="3:25" s="19" customFormat="1">
      <c r="C20" s="25"/>
      <c r="D20" s="25"/>
      <c r="E20" s="25" t="s">
        <v>1530</v>
      </c>
      <c r="F20" s="25"/>
      <c r="G20" s="136">
        <f t="shared" ref="G20:V20" ca="1" si="5">G19+1%*(G21=$H$8)</f>
        <v>6.9999999999999993E-2</v>
      </c>
      <c r="H20" s="136">
        <f t="shared" ca="1" si="5"/>
        <v>0.06</v>
      </c>
      <c r="I20" s="136">
        <f t="shared" ca="1" si="5"/>
        <v>6.2E-2</v>
      </c>
      <c r="J20" s="136">
        <f t="shared" ca="1" si="5"/>
        <v>6.4000000000000001E-2</v>
      </c>
      <c r="K20" s="136">
        <f t="shared" ca="1" si="5"/>
        <v>6.5200000000000008E-2</v>
      </c>
      <c r="L20" s="136">
        <f t="shared" ca="1" si="5"/>
        <v>6.6400000000000001E-2</v>
      </c>
      <c r="M20" s="136">
        <f t="shared" ca="1" si="5"/>
        <v>6.7600000000000007E-2</v>
      </c>
      <c r="N20" s="136">
        <f t="shared" ca="1" si="5"/>
        <v>6.88E-2</v>
      </c>
      <c r="O20" s="136">
        <f t="shared" ca="1" si="5"/>
        <v>7.0000000000000007E-2</v>
      </c>
      <c r="P20" s="136">
        <f t="shared" ca="1" si="5"/>
        <v>7.0800000000000002E-2</v>
      </c>
      <c r="Q20" s="136">
        <f t="shared" ca="1" si="5"/>
        <v>7.1600000000000011E-2</v>
      </c>
      <c r="R20" s="136">
        <f t="shared" ca="1" si="5"/>
        <v>7.2400000000000006E-2</v>
      </c>
      <c r="S20" s="136">
        <f t="shared" ca="1" si="5"/>
        <v>7.3200000000000015E-2</v>
      </c>
      <c r="T20" s="136">
        <f t="shared" ca="1" si="5"/>
        <v>7.400000000000001E-2</v>
      </c>
      <c r="U20" s="136">
        <f t="shared" ca="1" si="5"/>
        <v>7.400000000000001E-2</v>
      </c>
      <c r="V20" s="136">
        <f t="shared" ca="1" si="5"/>
        <v>7.400000000000001E-2</v>
      </c>
      <c r="W20" s="25"/>
      <c r="X20" s="25"/>
    </row>
    <row r="21" spans="3:25" s="19" customFormat="1">
      <c r="C21" s="25"/>
      <c r="D21" s="25"/>
      <c r="E21" s="25"/>
      <c r="F21" s="25"/>
      <c r="G21" s="25">
        <v>1</v>
      </c>
      <c r="H21" s="25">
        <f t="shared" ref="H21:V21" si="6">G21+1</f>
        <v>2</v>
      </c>
      <c r="I21" s="25">
        <f t="shared" si="6"/>
        <v>3</v>
      </c>
      <c r="J21" s="25">
        <f t="shared" si="6"/>
        <v>4</v>
      </c>
      <c r="K21" s="25">
        <f t="shared" si="6"/>
        <v>5</v>
      </c>
      <c r="L21" s="25">
        <f t="shared" si="6"/>
        <v>6</v>
      </c>
      <c r="M21" s="25">
        <f t="shared" si="6"/>
        <v>7</v>
      </c>
      <c r="N21" s="25">
        <f t="shared" si="6"/>
        <v>8</v>
      </c>
      <c r="O21" s="25">
        <f t="shared" si="6"/>
        <v>9</v>
      </c>
      <c r="P21" s="25">
        <f t="shared" si="6"/>
        <v>10</v>
      </c>
      <c r="Q21" s="25">
        <f t="shared" si="6"/>
        <v>11</v>
      </c>
      <c r="R21" s="25">
        <f t="shared" si="6"/>
        <v>12</v>
      </c>
      <c r="S21" s="25">
        <f t="shared" si="6"/>
        <v>13</v>
      </c>
      <c r="T21" s="25">
        <f t="shared" si="6"/>
        <v>14</v>
      </c>
      <c r="U21" s="25">
        <f t="shared" si="6"/>
        <v>15</v>
      </c>
      <c r="V21" s="25">
        <f t="shared" si="6"/>
        <v>16</v>
      </c>
      <c r="W21" s="25"/>
      <c r="X21" s="25"/>
    </row>
    <row r="23" spans="3:25" s="19" customFormat="1">
      <c r="C23" s="25"/>
      <c r="D23" s="25"/>
      <c r="E23" s="25"/>
      <c r="F23" s="130"/>
      <c r="G23" s="131"/>
      <c r="H23" s="131"/>
      <c r="I23" s="131"/>
      <c r="J23" s="131"/>
      <c r="K23" s="131"/>
      <c r="L23" s="131"/>
      <c r="M23" s="131"/>
      <c r="N23" s="131"/>
      <c r="O23" s="131"/>
      <c r="P23" s="131"/>
      <c r="Q23" s="131"/>
      <c r="R23" s="131"/>
      <c r="S23" s="131"/>
      <c r="T23" s="131"/>
      <c r="U23" s="131"/>
      <c r="V23" s="131"/>
      <c r="W23" s="138"/>
      <c r="X23" s="25"/>
      <c r="Y23" s="25"/>
    </row>
    <row r="24" spans="3:25">
      <c r="G24" s="139"/>
      <c r="H24" s="139"/>
      <c r="I24" s="139"/>
      <c r="J24" s="139"/>
      <c r="K24" s="139"/>
      <c r="L24" s="139"/>
      <c r="M24" s="139"/>
      <c r="N24" s="139"/>
      <c r="O24" s="139"/>
      <c r="P24" s="139"/>
      <c r="Q24" s="139"/>
      <c r="R24" s="139"/>
      <c r="S24" s="139"/>
      <c r="T24" s="139"/>
      <c r="U24" s="139"/>
      <c r="V24" s="139"/>
    </row>
  </sheetData>
  <sheetProtection algorithmName="SHA-512" hashValue="FZwMj4IiiR+ripJXjJYbnPpvbqXDCYUQjUufnt0K8yz9QAV5F8j7HEvVMBMdSft97SfQBtCbhSKqQO4838YRFA==" saltValue="Gd9PrfYXDu3D81tr2vqrSQ==" spinCount="100000" sheet="1" objects="1" scenarios="1"/>
  <phoneticPr fontId="2" type="noConversion"/>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pageSetUpPr fitToPage="1"/>
  </sheetPr>
  <dimension ref="B1:N49"/>
  <sheetViews>
    <sheetView showGridLines="0" showRowColHeaders="0" topLeftCell="A37" workbookViewId="0">
      <selection activeCell="E46" sqref="E46:J46"/>
    </sheetView>
  </sheetViews>
  <sheetFormatPr defaultColWidth="0" defaultRowHeight="12.5" zeroHeight="1"/>
  <cols>
    <col min="1" max="1" width="1" style="236" customWidth="1"/>
    <col min="2" max="2" width="1" style="235" customWidth="1"/>
    <col min="3" max="3" width="20.54296875" style="236" customWidth="1"/>
    <col min="4" max="7" width="11" style="236" customWidth="1"/>
    <col min="8" max="8" width="2" style="236" customWidth="1"/>
    <col min="9" max="12" width="10" style="236" customWidth="1"/>
    <col min="13" max="13" width="12.26953125" style="236" customWidth="1"/>
    <col min="14" max="14" width="1.81640625" style="235" customWidth="1"/>
    <col min="15" max="16384" width="0" style="236" hidden="1"/>
  </cols>
  <sheetData>
    <row r="1" spans="3:13">
      <c r="C1" s="235"/>
      <c r="D1" s="235"/>
      <c r="E1" s="235"/>
      <c r="F1" s="235"/>
      <c r="G1" s="235"/>
      <c r="H1" s="235"/>
      <c r="I1" s="235"/>
      <c r="J1" s="235"/>
      <c r="K1" s="235"/>
      <c r="L1" s="235"/>
      <c r="M1" s="235"/>
    </row>
    <row r="2" spans="3:13">
      <c r="C2" s="237"/>
      <c r="D2" s="237"/>
      <c r="E2" s="1667"/>
      <c r="F2" s="1667"/>
      <c r="G2" s="1667"/>
      <c r="H2" s="1667"/>
      <c r="I2" s="1667"/>
      <c r="J2" s="1667"/>
      <c r="K2" s="237"/>
      <c r="L2" s="237"/>
      <c r="M2" s="237"/>
    </row>
    <row r="3" spans="3:13" ht="16" thickBot="1">
      <c r="C3" s="238" t="s">
        <v>357</v>
      </c>
      <c r="D3" s="235"/>
      <c r="E3" s="235"/>
      <c r="F3" s="235"/>
      <c r="G3" s="235"/>
      <c r="H3" s="235"/>
      <c r="I3" s="235"/>
      <c r="J3" s="235"/>
      <c r="K3" s="235"/>
      <c r="L3" s="235"/>
      <c r="M3" s="235"/>
    </row>
    <row r="4" spans="3:13" ht="13" thickTop="1">
      <c r="C4" s="1326"/>
      <c r="D4" s="1326"/>
      <c r="E4" s="1326"/>
      <c r="F4" s="1326"/>
      <c r="G4" s="1326"/>
      <c r="H4" s="1326"/>
      <c r="I4" s="1326"/>
      <c r="J4" s="1326"/>
      <c r="K4" s="1666" t="str">
        <f ca="1">OFFSET(ad_first,OFFSET(ads_top,ROW(ads_valuing_option)-1,1),0)</f>
        <v>Our Visual Basic course shows how to automate routine work and save the time and trouble of doing the same thing over and over</v>
      </c>
      <c r="L4" s="1507"/>
      <c r="M4" s="1508"/>
    </row>
    <row r="5" spans="3:13">
      <c r="C5" s="1665" t="s">
        <v>294</v>
      </c>
      <c r="D5" s="1518"/>
      <c r="E5" s="1518"/>
      <c r="F5" s="1518"/>
      <c r="G5" s="1518"/>
      <c r="H5" s="1518"/>
      <c r="I5" s="1518"/>
      <c r="J5" s="1518"/>
      <c r="K5" s="1509"/>
      <c r="L5" s="1510"/>
      <c r="M5" s="1511"/>
    </row>
    <row r="6" spans="3:13">
      <c r="C6" s="1518"/>
      <c r="D6" s="1518"/>
      <c r="E6" s="1518"/>
      <c r="F6" s="1518"/>
      <c r="G6" s="1518"/>
      <c r="H6" s="1518"/>
      <c r="I6" s="1518"/>
      <c r="J6" s="1518"/>
      <c r="K6" s="1509"/>
      <c r="L6" s="1510"/>
      <c r="M6" s="1511"/>
    </row>
    <row r="7" spans="3:13">
      <c r="C7" s="1518"/>
      <c r="D7" s="1518"/>
      <c r="E7" s="1518"/>
      <c r="F7" s="1518"/>
      <c r="G7" s="1518"/>
      <c r="H7" s="1518"/>
      <c r="I7" s="1518"/>
      <c r="J7" s="1518"/>
      <c r="K7" s="1509"/>
      <c r="L7" s="1510"/>
      <c r="M7" s="1511"/>
    </row>
    <row r="8" spans="3:13" ht="13" thickBot="1">
      <c r="C8" s="1518"/>
      <c r="D8" s="1518"/>
      <c r="E8" s="1518"/>
      <c r="F8" s="1518"/>
      <c r="G8" s="1518"/>
      <c r="H8" s="1518"/>
      <c r="I8" s="1518"/>
      <c r="J8" s="1518"/>
      <c r="K8" s="1512"/>
      <c r="L8" s="1513"/>
      <c r="M8" s="1514"/>
    </row>
    <row r="9" spans="3:13" ht="13" thickTop="1">
      <c r="C9" s="1518"/>
      <c r="D9" s="1518"/>
      <c r="E9" s="1518"/>
      <c r="F9" s="1518"/>
      <c r="G9" s="1518"/>
      <c r="H9" s="1518"/>
      <c r="I9" s="1518"/>
      <c r="J9" s="1518"/>
      <c r="K9" s="1325"/>
      <c r="L9" s="1325"/>
      <c r="M9" s="1325"/>
    </row>
    <row r="10" spans="3:13">
      <c r="C10" s="1518"/>
      <c r="D10" s="1518"/>
      <c r="E10" s="1518"/>
      <c r="F10" s="1518"/>
      <c r="G10" s="1518"/>
      <c r="H10" s="1518"/>
      <c r="I10" s="1518"/>
      <c r="J10" s="1518"/>
      <c r="K10" s="235"/>
      <c r="L10" s="235"/>
      <c r="M10" s="235"/>
    </row>
    <row r="11" spans="3:13">
      <c r="C11" s="235"/>
      <c r="D11" s="235"/>
      <c r="E11" s="235"/>
      <c r="F11" s="235"/>
      <c r="G11" s="235"/>
      <c r="H11" s="235"/>
      <c r="I11" s="235"/>
      <c r="J11" s="235"/>
      <c r="K11" s="235"/>
      <c r="L11" s="235"/>
      <c r="M11" s="235"/>
    </row>
    <row r="12" spans="3:13">
      <c r="C12" s="1664" t="s">
        <v>295</v>
      </c>
      <c r="D12" s="1664"/>
      <c r="E12" s="1664"/>
      <c r="F12" s="1664"/>
      <c r="G12" s="1664"/>
      <c r="H12" s="1664"/>
      <c r="I12" s="1664"/>
      <c r="J12" s="1664"/>
      <c r="K12" s="1664"/>
      <c r="L12" s="1664"/>
      <c r="M12" s="1664"/>
    </row>
    <row r="13" spans="3:13">
      <c r="C13" s="1664"/>
      <c r="D13" s="1664"/>
      <c r="E13" s="1664"/>
      <c r="F13" s="1664"/>
      <c r="G13" s="1664"/>
      <c r="H13" s="1664"/>
      <c r="I13" s="1664"/>
      <c r="J13" s="1664"/>
      <c r="K13" s="1664"/>
      <c r="L13" s="1664"/>
      <c r="M13" s="1664"/>
    </row>
    <row r="14" spans="3:13">
      <c r="C14" s="1664"/>
      <c r="D14" s="1664"/>
      <c r="E14" s="1664"/>
      <c r="F14" s="1664"/>
      <c r="G14" s="1664"/>
      <c r="H14" s="1664"/>
      <c r="I14" s="1664"/>
      <c r="J14" s="1664"/>
      <c r="K14" s="1664"/>
      <c r="L14" s="1664"/>
      <c r="M14" s="1664"/>
    </row>
    <row r="15" spans="3:13">
      <c r="C15" s="235"/>
      <c r="D15" s="235"/>
      <c r="E15" s="235"/>
      <c r="F15" s="235"/>
      <c r="G15" s="235"/>
      <c r="H15" s="235"/>
      <c r="I15" s="235"/>
      <c r="J15" s="235"/>
      <c r="K15" s="235"/>
      <c r="L15" s="235"/>
      <c r="M15" s="235"/>
    </row>
    <row r="16" spans="3:13" ht="13">
      <c r="C16" s="239" t="str">
        <f>functions_used</f>
        <v>Spreadsheet functions used in this example</v>
      </c>
      <c r="D16" s="240"/>
      <c r="E16" s="240"/>
      <c r="F16" s="240"/>
      <c r="G16" s="240"/>
      <c r="H16" s="240"/>
      <c r="I16" s="240"/>
      <c r="J16" s="240"/>
      <c r="K16" s="240"/>
      <c r="L16" s="240"/>
      <c r="M16" s="240"/>
    </row>
    <row r="17" spans="2:14">
      <c r="C17" s="240" t="str">
        <f>functions_valuing_option</f>
        <v>CHOOSE, Data Table, EXP, IF, LN, MATCH, MAX, NORMSDIST, OFFSET, ROW, SQRT, SUM</v>
      </c>
      <c r="D17" s="240"/>
      <c r="E17" s="240"/>
      <c r="F17" s="240"/>
      <c r="G17" s="240"/>
      <c r="H17" s="240"/>
      <c r="I17" s="240"/>
      <c r="J17" s="240"/>
      <c r="K17" s="240"/>
      <c r="L17" s="240"/>
      <c r="M17" s="240"/>
    </row>
    <row r="18" spans="2:14" ht="13">
      <c r="C18" s="235"/>
      <c r="D18" s="235"/>
      <c r="E18" s="235"/>
      <c r="F18" s="235"/>
      <c r="G18" s="235"/>
      <c r="H18" s="235"/>
      <c r="I18" s="235"/>
      <c r="J18" s="241" t="s">
        <v>820</v>
      </c>
      <c r="K18" s="242"/>
      <c r="L18" s="242">
        <v>100</v>
      </c>
    </row>
    <row r="19" spans="2:14" s="248" customFormat="1" ht="54.75" customHeight="1">
      <c r="B19" s="243"/>
      <c r="C19" s="244" t="s">
        <v>1482</v>
      </c>
      <c r="D19" s="245" t="s">
        <v>809</v>
      </c>
      <c r="E19" s="245" t="s">
        <v>808</v>
      </c>
      <c r="F19" s="245" t="s">
        <v>810</v>
      </c>
      <c r="G19" s="246" t="s">
        <v>1483</v>
      </c>
      <c r="H19" s="247"/>
      <c r="I19" s="247"/>
      <c r="N19" s="243"/>
    </row>
    <row r="20" spans="2:14" ht="17.25" customHeight="1">
      <c r="C20" s="249" t="s">
        <v>498</v>
      </c>
      <c r="D20" s="250">
        <v>100</v>
      </c>
      <c r="E20" s="250">
        <v>0.1</v>
      </c>
      <c r="F20" s="250">
        <v>1</v>
      </c>
      <c r="G20" s="251"/>
      <c r="H20" s="252"/>
      <c r="I20" s="708" t="s">
        <v>813</v>
      </c>
      <c r="J20" s="709"/>
      <c r="K20" s="710">
        <v>0.2</v>
      </c>
    </row>
    <row r="21" spans="2:14" ht="17.25" customHeight="1">
      <c r="C21" s="249" t="s">
        <v>498</v>
      </c>
      <c r="D21" s="250">
        <v>78</v>
      </c>
      <c r="E21" s="250">
        <v>0.05</v>
      </c>
      <c r="F21" s="250">
        <v>-2</v>
      </c>
      <c r="G21" s="251"/>
      <c r="H21" s="252"/>
      <c r="I21" s="253" t="s">
        <v>812</v>
      </c>
      <c r="J21" s="254"/>
      <c r="K21" s="711">
        <v>1.4999999999999999E-2</v>
      </c>
    </row>
    <row r="22" spans="2:14" ht="17.25" customHeight="1">
      <c r="C22" s="249" t="s">
        <v>653</v>
      </c>
      <c r="D22" s="250">
        <v>80</v>
      </c>
      <c r="E22" s="250">
        <v>0.1</v>
      </c>
      <c r="F22" s="250">
        <v>1</v>
      </c>
      <c r="G22" s="251"/>
      <c r="H22" s="252"/>
      <c r="I22" s="255" t="s">
        <v>1484</v>
      </c>
      <c r="J22" s="256"/>
      <c r="K22" s="712">
        <v>5.5E-2</v>
      </c>
    </row>
    <row r="23" spans="2:14" ht="17.25" customHeight="1">
      <c r="C23" s="257" t="s">
        <v>1346</v>
      </c>
      <c r="D23" s="258"/>
      <c r="E23" s="258"/>
      <c r="F23" s="258"/>
      <c r="G23" s="259"/>
      <c r="H23" s="252"/>
      <c r="I23" s="252"/>
      <c r="J23" s="235"/>
      <c r="K23" s="33"/>
      <c r="L23" s="33"/>
      <c r="M23" s="33"/>
    </row>
    <row r="24" spans="2:14">
      <c r="C24" s="235"/>
      <c r="D24" s="235"/>
      <c r="E24" s="235"/>
      <c r="F24" s="235"/>
      <c r="G24" s="235"/>
      <c r="H24" s="235"/>
      <c r="I24" s="235"/>
      <c r="J24" s="235"/>
      <c r="K24" s="235"/>
      <c r="L24" s="33"/>
      <c r="M24" s="33"/>
    </row>
    <row r="25" spans="2:14">
      <c r="C25" s="235"/>
      <c r="D25" s="235"/>
      <c r="E25" s="235"/>
      <c r="F25" s="235"/>
      <c r="G25" s="235"/>
      <c r="H25" s="235"/>
      <c r="I25" s="713"/>
      <c r="J25" s="714"/>
      <c r="K25" s="714"/>
      <c r="L25" s="714"/>
      <c r="M25" s="714"/>
    </row>
    <row r="26" spans="2:14">
      <c r="C26" s="332"/>
      <c r="D26" s="235"/>
      <c r="E26" s="235"/>
      <c r="F26" s="235"/>
      <c r="G26" s="235"/>
      <c r="H26" s="235"/>
      <c r="I26" s="714"/>
      <c r="J26" s="714"/>
      <c r="K26" s="714"/>
      <c r="L26" s="714"/>
      <c r="M26" s="714"/>
    </row>
    <row r="27" spans="2:14">
      <c r="C27" s="715" t="b">
        <v>1</v>
      </c>
      <c r="D27" s="265">
        <v>1</v>
      </c>
      <c r="E27" s="235"/>
      <c r="F27" s="235"/>
      <c r="G27" s="235"/>
      <c r="H27" s="235"/>
      <c r="I27" s="714"/>
      <c r="J27" s="714"/>
      <c r="K27" s="714"/>
      <c r="L27" s="714"/>
      <c r="M27" s="714"/>
    </row>
    <row r="28" spans="2:14">
      <c r="C28" s="715" t="b">
        <v>1</v>
      </c>
      <c r="D28" s="265">
        <f>D27+1</f>
        <v>2</v>
      </c>
      <c r="E28" s="235"/>
      <c r="F28" s="235"/>
      <c r="G28" s="235"/>
      <c r="H28" s="235"/>
      <c r="I28" s="714"/>
      <c r="J28" s="714"/>
      <c r="K28" s="714"/>
      <c r="L28" s="714"/>
      <c r="M28" s="714"/>
    </row>
    <row r="29" spans="2:14">
      <c r="C29" s="715" t="b">
        <v>1</v>
      </c>
      <c r="D29" s="265">
        <f>D28+1</f>
        <v>3</v>
      </c>
      <c r="E29" s="235"/>
      <c r="F29" s="235"/>
      <c r="G29" s="235"/>
      <c r="H29" s="235"/>
      <c r="I29" s="714"/>
      <c r="J29" s="714"/>
      <c r="K29" s="714"/>
      <c r="L29" s="714"/>
      <c r="M29" s="714"/>
    </row>
    <row r="30" spans="2:14">
      <c r="C30" s="715"/>
      <c r="D30" s="265"/>
      <c r="E30" s="235"/>
      <c r="F30" s="235"/>
      <c r="G30" s="235"/>
      <c r="H30" s="235"/>
      <c r="I30" s="714"/>
      <c r="J30" s="714"/>
      <c r="K30" s="714"/>
      <c r="L30" s="714"/>
      <c r="M30" s="714"/>
    </row>
    <row r="31" spans="2:14">
      <c r="C31" s="715" t="b">
        <v>0</v>
      </c>
      <c r="D31" s="265"/>
      <c r="E31" s="235"/>
      <c r="F31" s="235"/>
      <c r="G31" s="235"/>
      <c r="H31" s="235"/>
      <c r="I31" s="714"/>
      <c r="J31" s="714"/>
      <c r="K31" s="714"/>
      <c r="L31" s="714"/>
      <c r="M31" s="714"/>
    </row>
    <row r="32" spans="2:14">
      <c r="C32" s="235"/>
      <c r="D32" s="235"/>
      <c r="E32" s="235"/>
      <c r="F32" s="235"/>
      <c r="G32" s="235"/>
      <c r="H32" s="235"/>
      <c r="I32" s="714"/>
      <c r="J32" s="714"/>
      <c r="K32" s="714"/>
      <c r="L32" s="714"/>
      <c r="M32" s="714"/>
    </row>
    <row r="33" spans="3:13">
      <c r="C33" s="235"/>
      <c r="D33" s="235"/>
      <c r="E33" s="235"/>
      <c r="F33" s="235"/>
      <c r="G33" s="235"/>
      <c r="H33" s="235"/>
      <c r="I33" s="714"/>
      <c r="J33" s="714"/>
      <c r="K33" s="714"/>
      <c r="L33" s="714"/>
      <c r="M33" s="714"/>
    </row>
    <row r="34" spans="3:13">
      <c r="C34" s="235"/>
      <c r="D34" s="235"/>
      <c r="E34" s="235"/>
      <c r="F34" s="235"/>
      <c r="G34" s="235"/>
      <c r="H34" s="235"/>
      <c r="I34" s="714"/>
      <c r="J34" s="714"/>
      <c r="K34" s="714"/>
      <c r="L34" s="714"/>
      <c r="M34" s="714"/>
    </row>
    <row r="35" spans="3:13">
      <c r="C35" s="235"/>
      <c r="D35" s="235"/>
      <c r="E35" s="235"/>
      <c r="F35" s="235"/>
      <c r="G35" s="235"/>
      <c r="H35" s="235"/>
      <c r="I35" s="714"/>
      <c r="J35" s="714"/>
      <c r="K35" s="714"/>
      <c r="L35" s="714"/>
      <c r="M35" s="714"/>
    </row>
    <row r="36" spans="3:13">
      <c r="C36" s="235"/>
      <c r="D36" s="235"/>
      <c r="E36" s="235"/>
      <c r="F36" s="235"/>
      <c r="G36" s="235"/>
      <c r="H36" s="235"/>
      <c r="I36" s="714"/>
      <c r="J36" s="714"/>
      <c r="K36" s="714"/>
      <c r="L36" s="714"/>
      <c r="M36" s="714"/>
    </row>
    <row r="37" spans="3:13">
      <c r="C37" s="235"/>
      <c r="D37" s="235"/>
      <c r="E37" s="235"/>
      <c r="F37" s="235"/>
      <c r="G37" s="235"/>
      <c r="H37" s="235"/>
      <c r="I37" s="714"/>
      <c r="J37" s="714"/>
      <c r="K37" s="714"/>
      <c r="L37" s="714"/>
      <c r="M37" s="714"/>
    </row>
    <row r="38" spans="3:13">
      <c r="C38" s="235"/>
      <c r="D38" s="235"/>
      <c r="E38" s="235"/>
      <c r="F38" s="235"/>
      <c r="G38" s="235"/>
      <c r="H38" s="235"/>
      <c r="I38" s="714"/>
      <c r="J38" s="714"/>
      <c r="K38" s="714"/>
      <c r="L38" s="714"/>
      <c r="M38" s="714"/>
    </row>
    <row r="39" spans="3:13">
      <c r="C39" s="235"/>
      <c r="D39" s="235"/>
      <c r="E39" s="235"/>
      <c r="F39" s="235"/>
      <c r="G39" s="235"/>
      <c r="H39" s="235"/>
      <c r="I39" s="714"/>
      <c r="J39" s="714"/>
      <c r="K39" s="714"/>
      <c r="L39" s="714"/>
      <c r="M39" s="714"/>
    </row>
    <row r="40" spans="3:13">
      <c r="C40" s="235"/>
      <c r="D40" s="235"/>
      <c r="E40" s="235"/>
      <c r="F40" s="235"/>
      <c r="G40" s="235"/>
      <c r="H40" s="235"/>
      <c r="I40" s="714"/>
      <c r="J40" s="714"/>
      <c r="K40" s="714"/>
      <c r="L40" s="714"/>
      <c r="M40" s="714"/>
    </row>
    <row r="41" spans="3:13">
      <c r="C41" s="235"/>
      <c r="D41" s="235"/>
      <c r="E41" s="235"/>
      <c r="F41" s="235"/>
      <c r="G41" s="235"/>
      <c r="H41" s="235"/>
      <c r="I41" s="714"/>
      <c r="J41" s="714"/>
      <c r="K41" s="714"/>
      <c r="L41" s="714"/>
      <c r="M41" s="714"/>
    </row>
    <row r="42" spans="3:13">
      <c r="C42" s="235"/>
      <c r="D42" s="235"/>
      <c r="E42" s="235"/>
      <c r="F42" s="235"/>
      <c r="G42" s="235"/>
      <c r="H42" s="235"/>
      <c r="I42" s="714"/>
      <c r="J42" s="714"/>
      <c r="K42" s="714"/>
      <c r="L42" s="714"/>
      <c r="M42" s="714"/>
    </row>
    <row r="43" spans="3:13">
      <c r="C43" s="235"/>
      <c r="D43" s="235"/>
      <c r="E43" s="235"/>
      <c r="F43" s="235"/>
      <c r="G43" s="235"/>
      <c r="H43" s="235"/>
      <c r="I43" s="714"/>
      <c r="J43" s="714"/>
      <c r="K43" s="714"/>
      <c r="L43" s="714"/>
      <c r="M43" s="714"/>
    </row>
    <row r="44" spans="3:13">
      <c r="C44" s="235"/>
      <c r="D44" s="235"/>
      <c r="E44" s="235"/>
      <c r="F44" s="235"/>
      <c r="G44" s="235"/>
      <c r="H44" s="235"/>
      <c r="I44" s="714"/>
      <c r="J44" s="714"/>
      <c r="K44" s="714"/>
      <c r="L44" s="714"/>
      <c r="M44" s="714"/>
    </row>
    <row r="45" spans="3:13">
      <c r="C45" s="235"/>
      <c r="D45" s="235"/>
      <c r="E45" s="235"/>
      <c r="F45" s="235"/>
      <c r="G45" s="235"/>
      <c r="H45" s="235"/>
      <c r="I45" s="235"/>
      <c r="J45" s="235"/>
      <c r="K45" s="235"/>
      <c r="L45" s="235"/>
      <c r="M45" s="235"/>
    </row>
    <row r="46" spans="3:13">
      <c r="C46" s="1454" t="str">
        <f>back_to_index</f>
        <v>Back to contents</v>
      </c>
      <c r="D46" s="1454"/>
      <c r="E46" s="1670" t="str">
        <f>page_prefix &amp; page_Valuing_Option &amp; page_suffix</f>
        <v>- Page 18 -</v>
      </c>
      <c r="F46" s="1530"/>
      <c r="G46" s="1530"/>
      <c r="H46" s="1530"/>
      <c r="I46" s="1530"/>
      <c r="J46" s="1530"/>
      <c r="K46" s="235"/>
      <c r="L46" s="1669" t="s">
        <v>1506</v>
      </c>
      <c r="M46" s="1669"/>
    </row>
    <row r="47" spans="3:13">
      <c r="C47" s="235"/>
      <c r="D47" s="235"/>
      <c r="E47" s="1668" t="str">
        <f>copyright</f>
        <v>Copyright (c) 2009 Tykoh Group Pty Limited</v>
      </c>
      <c r="F47" s="1668"/>
      <c r="G47" s="1668"/>
      <c r="H47" s="1668"/>
      <c r="I47" s="1668"/>
      <c r="J47" s="1668"/>
      <c r="K47" s="235"/>
      <c r="L47" s="235"/>
      <c r="M47" s="235"/>
    </row>
    <row r="48" spans="3:13">
      <c r="C48" s="235"/>
      <c r="D48" s="235"/>
      <c r="E48" s="1452" t="s">
        <v>358</v>
      </c>
      <c r="F48" s="1452"/>
      <c r="G48" s="1452"/>
      <c r="H48" s="1452"/>
      <c r="I48" s="1452"/>
      <c r="J48" s="1452"/>
      <c r="K48" s="235"/>
      <c r="L48" s="235"/>
      <c r="M48" s="235"/>
    </row>
    <row r="49"/>
  </sheetData>
  <sheetProtection algorithmName="SHA-512" hashValue="GJVQeaE3HJb/vyo1YhUj6fpHHom/y41VPRfIXZyzsJui4vKPQMKimv/48v/0QeoxgMZ7EOUeNbO46KFw+Ugwfw==" saltValue="lM0QMvy/cN9iLf4p620quQ==" spinCount="100000" sheet="1" objects="1" scenarios="1"/>
  <mergeCells count="9">
    <mergeCell ref="E48:J48"/>
    <mergeCell ref="E47:J47"/>
    <mergeCell ref="L46:M46"/>
    <mergeCell ref="E46:J46"/>
    <mergeCell ref="C46:D46"/>
    <mergeCell ref="C12:M14"/>
    <mergeCell ref="C5:J10"/>
    <mergeCell ref="K4:M8"/>
    <mergeCell ref="E2:J2"/>
  </mergeCells>
  <phoneticPr fontId="2" type="noConversion"/>
  <dataValidations count="8">
    <dataValidation type="decimal" allowBlank="1" showInputMessage="1" showErrorMessage="1" error="Volatility must be between 1% and 100%" sqref="K20" xr:uid="{00000000-0002-0000-1C00-000000000000}">
      <formula1>0.01</formula1>
      <formula2>1</formula2>
    </dataValidation>
    <dataValidation type="decimal" allowBlank="1" showInputMessage="1" showErrorMessage="1" error="Asset yield must be between 0 and 10%" sqref="K21" xr:uid="{00000000-0002-0000-1C00-000001000000}">
      <formula1>0</formula1>
      <formula2>0.1</formula2>
    </dataValidation>
    <dataValidation type="decimal" allowBlank="1" showInputMessage="1" showErrorMessage="1" error="Risk free rate must be between 0 and 10%" sqref="K22" xr:uid="{00000000-0002-0000-1C00-000002000000}">
      <formula1>0</formula1>
      <formula2>0.1</formula2>
    </dataValidation>
    <dataValidation type="decimal" allowBlank="1" showInputMessage="1" showErrorMessage="1" error="Asset price must be between 60 and 140" sqref="L18" xr:uid="{00000000-0002-0000-1C00-000003000000}">
      <formula1>60</formula1>
      <formula2>140</formula2>
    </dataValidation>
    <dataValidation type="decimal" allowBlank="1" showInputMessage="1" showErrorMessage="1" error="Exercise price must be between 60 and 140" sqref="D20:D22" xr:uid="{00000000-0002-0000-1C00-000004000000}">
      <formula1>60</formula1>
      <formula2>140</formula2>
    </dataValidation>
    <dataValidation type="decimal" allowBlank="1" showInputMessage="1" showErrorMessage="1" error="Maturity must be between 0 and 5 years." sqref="E20:E22" xr:uid="{00000000-0002-0000-1C00-000005000000}">
      <formula1>0</formula1>
      <formula2>5</formula2>
    </dataValidation>
    <dataValidation type="custom" allowBlank="1" showInputMessage="1" showErrorMessage="1" error="Please enter a number." sqref="F20:F22" xr:uid="{00000000-0002-0000-1C00-000006000000}">
      <formula1>ISNUMBER(F20)</formula1>
    </dataValidation>
    <dataValidation type="list" allowBlank="1" showInputMessage="1" showErrorMessage="1" sqref="C20:C22" xr:uid="{00000000-0002-0000-1C00-000007000000}">
      <formula1>option_type_table</formula1>
    </dataValidation>
  </dataValidations>
  <hyperlinks>
    <hyperlink ref="L46:M46" location="hh_Valuing_Option" display="Back to top" xr:uid="{00000000-0004-0000-1C00-000000000000}"/>
    <hyperlink ref="C46:D46" location="hh_index" display="hh_index" xr:uid="{00000000-0004-0000-1C00-000001000000}"/>
    <hyperlink ref="E48:J48" r:id="rId1" display="www.tykoh.com" xr:uid="{00000000-0004-0000-1C00-000002000000}"/>
  </hyperlinks>
  <pageMargins left="0.75" right="0.75" top="1" bottom="1" header="0.5" footer="0.5"/>
  <pageSetup scale="74"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5365" r:id="rId5" name="Check Box 5">
              <controlPr locked="0" defaultSize="0" autoFill="0" autoLine="0" autoPict="0">
                <anchor moveWithCells="1">
                  <from>
                    <xdr:col>6</xdr:col>
                    <xdr:colOff>101600</xdr:colOff>
                    <xdr:row>19</xdr:row>
                    <xdr:rowOff>0</xdr:rowOff>
                  </from>
                  <to>
                    <xdr:col>6</xdr:col>
                    <xdr:colOff>419100</xdr:colOff>
                    <xdr:row>20</xdr:row>
                    <xdr:rowOff>0</xdr:rowOff>
                  </to>
                </anchor>
              </controlPr>
            </control>
          </mc:Choice>
        </mc:AlternateContent>
        <mc:AlternateContent xmlns:mc="http://schemas.openxmlformats.org/markup-compatibility/2006">
          <mc:Choice Requires="x14">
            <control shapeId="15366" r:id="rId6" name="Check Box 6">
              <controlPr defaultSize="0" autoFill="0" autoLine="0" autoPict="0">
                <anchor moveWithCells="1">
                  <from>
                    <xdr:col>6</xdr:col>
                    <xdr:colOff>101600</xdr:colOff>
                    <xdr:row>20</xdr:row>
                    <xdr:rowOff>0</xdr:rowOff>
                  </from>
                  <to>
                    <xdr:col>6</xdr:col>
                    <xdr:colOff>419100</xdr:colOff>
                    <xdr:row>21</xdr:row>
                    <xdr:rowOff>0</xdr:rowOff>
                  </to>
                </anchor>
              </controlPr>
            </control>
          </mc:Choice>
        </mc:AlternateContent>
        <mc:AlternateContent xmlns:mc="http://schemas.openxmlformats.org/markup-compatibility/2006">
          <mc:Choice Requires="x14">
            <control shapeId="15367" r:id="rId7" name="Check Box 7">
              <controlPr defaultSize="0" autoFill="0" autoLine="0" autoPict="0">
                <anchor moveWithCells="1">
                  <from>
                    <xdr:col>6</xdr:col>
                    <xdr:colOff>101600</xdr:colOff>
                    <xdr:row>21</xdr:row>
                    <xdr:rowOff>0</xdr:rowOff>
                  </from>
                  <to>
                    <xdr:col>6</xdr:col>
                    <xdr:colOff>419100</xdr:colOff>
                    <xdr:row>22</xdr:row>
                    <xdr:rowOff>0</xdr:rowOff>
                  </to>
                </anchor>
              </controlPr>
            </control>
          </mc:Choice>
        </mc:AlternateContent>
        <mc:AlternateContent xmlns:mc="http://schemas.openxmlformats.org/markup-compatibility/2006">
          <mc:Choice Requires="x14">
            <control shapeId="15417" r:id="rId8" name="Check Box 57">
              <controlPr defaultSize="0" autoFill="0" autoLine="0" autoPict="0">
                <anchor moveWithCells="1">
                  <from>
                    <xdr:col>6</xdr:col>
                    <xdr:colOff>101600</xdr:colOff>
                    <xdr:row>22</xdr:row>
                    <xdr:rowOff>0</xdr:rowOff>
                  </from>
                  <to>
                    <xdr:col>6</xdr:col>
                    <xdr:colOff>508000</xdr:colOff>
                    <xdr:row>23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59"/>
  <sheetViews>
    <sheetView showGridLines="0" showRowColHeaders="0" workbookViewId="0"/>
  </sheetViews>
  <sheetFormatPr defaultColWidth="0" defaultRowHeight="12.5" zeroHeight="1"/>
  <cols>
    <col min="1" max="2" width="1" style="32" customWidth="1"/>
    <col min="3" max="3" width="8" style="32" customWidth="1"/>
    <col min="4" max="4" width="7.7265625" style="32" hidden="1" customWidth="1"/>
    <col min="5" max="7" width="7.7265625" style="32" customWidth="1"/>
    <col min="8" max="10" width="8" style="32" customWidth="1"/>
    <col min="11" max="11" width="7.7265625" style="32" customWidth="1"/>
    <col min="12" max="18" width="8" style="32" customWidth="1"/>
    <col min="19" max="19" width="1.81640625" style="32" customWidth="1"/>
    <col min="20" max="16384" width="9.1796875" style="32" hidden="1"/>
  </cols>
  <sheetData>
    <row r="1" spans="1:19">
      <c r="S1" s="558"/>
    </row>
    <row r="2" spans="1:19">
      <c r="C2" s="103"/>
      <c r="D2" s="103"/>
      <c r="E2" s="103"/>
      <c r="F2" s="103"/>
      <c r="G2" s="103"/>
      <c r="H2" s="103"/>
      <c r="I2" s="103"/>
      <c r="J2" s="1494"/>
      <c r="K2" s="1494"/>
      <c r="L2" s="1494"/>
      <c r="M2" s="1494"/>
      <c r="N2" s="103"/>
      <c r="O2" s="103"/>
      <c r="P2" s="103"/>
      <c r="Q2" s="1491"/>
      <c r="R2" s="1491"/>
      <c r="S2" s="558"/>
    </row>
    <row r="3" spans="1:19" ht="18" thickBot="1">
      <c r="C3" s="1495" t="s">
        <v>1644</v>
      </c>
      <c r="D3" s="1496"/>
      <c r="E3" s="1496"/>
      <c r="F3" s="1496"/>
      <c r="G3" s="1496"/>
      <c r="H3" s="1496"/>
      <c r="I3" s="1496"/>
      <c r="J3" s="1496"/>
      <c r="K3" s="1496"/>
      <c r="L3" s="1496"/>
      <c r="M3" s="1496"/>
      <c r="N3" s="1496"/>
      <c r="O3" s="1496"/>
      <c r="P3" s="1496"/>
      <c r="Q3" s="1496"/>
      <c r="R3" s="1496"/>
      <c r="S3" s="558"/>
    </row>
    <row r="4" spans="1:19" ht="12.75" customHeight="1" thickTop="1">
      <c r="C4" s="969"/>
      <c r="D4" s="970"/>
      <c r="E4" s="970"/>
      <c r="F4" s="970"/>
      <c r="G4" s="970"/>
      <c r="H4" s="970"/>
      <c r="I4" s="970"/>
      <c r="J4" s="970"/>
      <c r="K4" s="970"/>
      <c r="L4" s="970"/>
      <c r="M4" s="970"/>
      <c r="N4" s="970"/>
      <c r="O4" s="970"/>
      <c r="P4" s="1506" t="str">
        <f ca="1">OFFSET(ad_first,OFFSET(ads_top,ROW(ads_aggregating)-1,1),0)</f>
        <v>Our Visual Basic course shows how to increase work efficiency by making shortcuts for common tasks</v>
      </c>
      <c r="Q4" s="1507"/>
      <c r="R4" s="1508"/>
      <c r="S4" s="558"/>
    </row>
    <row r="5" spans="1:19" s="1342" customFormat="1" ht="12.75" customHeight="1">
      <c r="A5" s="144"/>
      <c r="B5" s="144"/>
      <c r="C5" s="1515" t="s">
        <v>388</v>
      </c>
      <c r="D5" s="1516"/>
      <c r="E5" s="1516"/>
      <c r="F5" s="1516"/>
      <c r="G5" s="1516"/>
      <c r="H5" s="1516"/>
      <c r="I5" s="1516"/>
      <c r="J5" s="1516"/>
      <c r="K5" s="1516"/>
      <c r="L5" s="1516"/>
      <c r="M5" s="1516"/>
      <c r="N5" s="1516"/>
      <c r="O5" s="1516"/>
      <c r="P5" s="1509"/>
      <c r="Q5" s="1510"/>
      <c r="R5" s="1511"/>
      <c r="S5" s="1341"/>
    </row>
    <row r="6" spans="1:19" s="1342" customFormat="1" ht="12.75" customHeight="1">
      <c r="C6" s="1516"/>
      <c r="D6" s="1516"/>
      <c r="E6" s="1516"/>
      <c r="F6" s="1516"/>
      <c r="G6" s="1516"/>
      <c r="H6" s="1516"/>
      <c r="I6" s="1516"/>
      <c r="J6" s="1516"/>
      <c r="K6" s="1516"/>
      <c r="L6" s="1516"/>
      <c r="M6" s="1516"/>
      <c r="N6" s="1516"/>
      <c r="O6" s="1516"/>
      <c r="P6" s="1509"/>
      <c r="Q6" s="1510"/>
      <c r="R6" s="1511"/>
      <c r="S6" s="1341"/>
    </row>
    <row r="7" spans="1:19" s="1342" customFormat="1" ht="12.75" customHeight="1">
      <c r="C7" s="1516"/>
      <c r="D7" s="1516"/>
      <c r="E7" s="1516"/>
      <c r="F7" s="1516"/>
      <c r="G7" s="1516"/>
      <c r="H7" s="1516"/>
      <c r="I7" s="1516"/>
      <c r="J7" s="1516"/>
      <c r="K7" s="1516"/>
      <c r="L7" s="1516"/>
      <c r="M7" s="1516"/>
      <c r="N7" s="1516"/>
      <c r="O7" s="1516"/>
      <c r="P7" s="1509"/>
      <c r="Q7" s="1510"/>
      <c r="R7" s="1511"/>
      <c r="S7" s="1341"/>
    </row>
    <row r="8" spans="1:19" s="1342" customFormat="1" ht="12.75" customHeight="1" thickBot="1">
      <c r="C8" s="1516"/>
      <c r="D8" s="1516"/>
      <c r="E8" s="1516"/>
      <c r="F8" s="1516"/>
      <c r="G8" s="1516"/>
      <c r="H8" s="1516"/>
      <c r="I8" s="1516"/>
      <c r="J8" s="1516"/>
      <c r="K8" s="1516"/>
      <c r="L8" s="1516"/>
      <c r="M8" s="1516"/>
      <c r="N8" s="1516"/>
      <c r="O8" s="1516"/>
      <c r="P8" s="1512"/>
      <c r="Q8" s="1513"/>
      <c r="R8" s="1514"/>
      <c r="S8" s="1341"/>
    </row>
    <row r="9" spans="1:19" ht="12.75" customHeight="1" thickTop="1">
      <c r="C9" s="1516"/>
      <c r="D9" s="1516"/>
      <c r="E9" s="1516"/>
      <c r="F9" s="1516"/>
      <c r="G9" s="1516"/>
      <c r="H9" s="1516"/>
      <c r="I9" s="1516"/>
      <c r="J9" s="1516"/>
      <c r="K9" s="1516"/>
      <c r="L9" s="1516"/>
      <c r="M9" s="1516"/>
      <c r="N9" s="1516"/>
      <c r="O9" s="1516"/>
      <c r="P9" s="1339"/>
      <c r="Q9" s="1340"/>
      <c r="R9" s="1340"/>
      <c r="S9" s="558"/>
    </row>
    <row r="10" spans="1:19">
      <c r="C10" s="1517" t="s">
        <v>389</v>
      </c>
      <c r="D10" s="1518"/>
      <c r="E10" s="1518"/>
      <c r="F10" s="1518"/>
      <c r="G10" s="1518"/>
      <c r="H10" s="1518"/>
      <c r="I10" s="1518"/>
      <c r="J10" s="1518"/>
      <c r="K10" s="1518"/>
      <c r="L10" s="1518"/>
      <c r="M10" s="1518"/>
      <c r="N10" s="1518"/>
      <c r="O10" s="1518"/>
      <c r="P10" s="1518"/>
      <c r="Q10" s="1518"/>
      <c r="R10" s="1518"/>
      <c r="S10" s="558"/>
    </row>
    <row r="11" spans="1:19">
      <c r="C11" s="1518"/>
      <c r="D11" s="1518"/>
      <c r="E11" s="1518"/>
      <c r="F11" s="1518"/>
      <c r="G11" s="1518"/>
      <c r="H11" s="1518"/>
      <c r="I11" s="1518"/>
      <c r="J11" s="1518"/>
      <c r="K11" s="1518"/>
      <c r="L11" s="1518"/>
      <c r="M11" s="1518"/>
      <c r="N11" s="1518"/>
      <c r="O11" s="1518"/>
      <c r="P11" s="1518"/>
      <c r="Q11" s="1518"/>
      <c r="R11" s="1518"/>
      <c r="S11" s="558"/>
    </row>
    <row r="12" spans="1:19">
      <c r="C12" s="1518"/>
      <c r="D12" s="1518"/>
      <c r="E12" s="1518"/>
      <c r="F12" s="1518"/>
      <c r="G12" s="1518"/>
      <c r="H12" s="1518"/>
      <c r="I12" s="1518"/>
      <c r="J12" s="1518"/>
      <c r="K12" s="1518"/>
      <c r="L12" s="1518"/>
      <c r="M12" s="1518"/>
      <c r="N12" s="1518"/>
      <c r="O12" s="1518"/>
      <c r="P12" s="1518"/>
      <c r="Q12" s="1518"/>
      <c r="R12" s="1518"/>
      <c r="S12" s="558"/>
    </row>
    <row r="13" spans="1:19" ht="8.25" customHeight="1">
      <c r="D13" s="416"/>
      <c r="P13" s="1309"/>
      <c r="Q13" s="1309"/>
      <c r="R13" s="1309"/>
      <c r="S13" s="558"/>
    </row>
    <row r="14" spans="1:19" ht="15.5">
      <c r="C14" s="416" t="s">
        <v>1359</v>
      </c>
      <c r="P14" s="1310"/>
      <c r="Q14" s="1311"/>
      <c r="R14" s="1311"/>
      <c r="S14" s="558"/>
    </row>
    <row r="15" spans="1:19" ht="6.75" customHeight="1">
      <c r="C15" s="416"/>
      <c r="P15" s="1161"/>
      <c r="Q15" s="1162"/>
      <c r="R15" s="1162"/>
      <c r="S15" s="558"/>
    </row>
    <row r="16" spans="1:19">
      <c r="C16" s="1492" t="s">
        <v>609</v>
      </c>
      <c r="D16" s="1492"/>
      <c r="E16" s="1493"/>
      <c r="F16" s="1493"/>
      <c r="G16" s="1493"/>
      <c r="H16" s="1493"/>
      <c r="I16" s="1493"/>
      <c r="J16" s="1493"/>
      <c r="K16" s="1493"/>
      <c r="L16" s="1493"/>
      <c r="M16" s="1493"/>
      <c r="N16" s="1493"/>
      <c r="O16" s="1493"/>
      <c r="P16" s="1493"/>
      <c r="Q16" s="1493"/>
      <c r="R16" s="1493"/>
      <c r="S16" s="558"/>
    </row>
    <row r="17" spans="3:19">
      <c r="C17" s="1492"/>
      <c r="D17" s="1492"/>
      <c r="E17" s="1493"/>
      <c r="F17" s="1493"/>
      <c r="G17" s="1493"/>
      <c r="H17" s="1493"/>
      <c r="I17" s="1493"/>
      <c r="J17" s="1493"/>
      <c r="K17" s="1493"/>
      <c r="L17" s="1493"/>
      <c r="M17" s="1493"/>
      <c r="N17" s="1493"/>
      <c r="O17" s="1493"/>
      <c r="P17" s="1493"/>
      <c r="Q17" s="1493"/>
      <c r="R17" s="1493"/>
      <c r="S17" s="558"/>
    </row>
    <row r="18" spans="3:19">
      <c r="C18" s="1493"/>
      <c r="D18" s="1493"/>
      <c r="E18" s="1493"/>
      <c r="F18" s="1493"/>
      <c r="G18" s="1493"/>
      <c r="H18" s="1493"/>
      <c r="I18" s="1493"/>
      <c r="J18" s="1493"/>
      <c r="K18" s="1493"/>
      <c r="L18" s="1493"/>
      <c r="M18" s="1493"/>
      <c r="N18" s="1493"/>
      <c r="O18" s="1493"/>
      <c r="P18" s="1493"/>
      <c r="Q18" s="1493"/>
      <c r="R18" s="1493"/>
      <c r="S18" s="558"/>
    </row>
    <row r="19" spans="3:19">
      <c r="C19" s="1493"/>
      <c r="D19" s="1493"/>
      <c r="E19" s="1493"/>
      <c r="F19" s="1493"/>
      <c r="G19" s="1493"/>
      <c r="H19" s="1493"/>
      <c r="I19" s="1493"/>
      <c r="J19" s="1493"/>
      <c r="K19" s="1493"/>
      <c r="L19" s="1493"/>
      <c r="M19" s="1493"/>
      <c r="N19" s="1493"/>
      <c r="O19" s="1493"/>
      <c r="P19" s="1493"/>
      <c r="Q19" s="1493"/>
      <c r="R19" s="1493"/>
      <c r="S19" s="558"/>
    </row>
    <row r="20" spans="3:19">
      <c r="C20" s="1493"/>
      <c r="D20" s="1493"/>
      <c r="E20" s="1493"/>
      <c r="F20" s="1493"/>
      <c r="G20" s="1493"/>
      <c r="H20" s="1493"/>
      <c r="I20" s="1493"/>
      <c r="J20" s="1493"/>
      <c r="K20" s="1493"/>
      <c r="L20" s="1493"/>
      <c r="M20" s="1493"/>
      <c r="N20" s="1493"/>
      <c r="O20" s="1493"/>
      <c r="P20" s="1493"/>
      <c r="Q20" s="1493"/>
      <c r="R20" s="1493"/>
      <c r="S20" s="558"/>
    </row>
    <row r="21" spans="3:19" ht="13">
      <c r="C21" s="128" t="str">
        <f>functions_used</f>
        <v>Spreadsheet functions used in this example</v>
      </c>
      <c r="D21" s="128"/>
      <c r="E21" s="80"/>
      <c r="F21" s="80"/>
      <c r="G21" s="80"/>
      <c r="H21" s="80"/>
      <c r="I21" s="80"/>
      <c r="J21" s="80"/>
      <c r="K21" s="80"/>
      <c r="L21" s="80"/>
      <c r="M21" s="80"/>
      <c r="N21" s="80"/>
      <c r="O21" s="80"/>
      <c r="P21" s="80"/>
      <c r="Q21" s="80"/>
      <c r="R21" s="80"/>
      <c r="S21" s="558"/>
    </row>
    <row r="22" spans="3:19">
      <c r="C22" s="80" t="str">
        <f>functions_aggregating</f>
        <v>Conditional format, IF, LEN, MAX, MIN, OFFSET, ROW, SUMPRODUCT</v>
      </c>
      <c r="D22" s="80"/>
      <c r="E22" s="80"/>
      <c r="F22" s="80"/>
      <c r="G22" s="80"/>
      <c r="H22" s="80"/>
      <c r="I22" s="80"/>
      <c r="J22" s="80"/>
      <c r="K22" s="80"/>
      <c r="L22" s="80"/>
      <c r="M22" s="80"/>
      <c r="N22" s="80"/>
      <c r="O22" s="80"/>
      <c r="P22" s="80"/>
      <c r="Q22" s="80"/>
      <c r="R22" s="80"/>
      <c r="S22" s="558"/>
    </row>
    <row r="23" spans="3:19">
      <c r="S23" s="558"/>
    </row>
    <row r="24" spans="3:19">
      <c r="C24" s="1483" t="s">
        <v>664</v>
      </c>
      <c r="D24" s="1483"/>
      <c r="E24" s="1483"/>
      <c r="F24" s="1483"/>
      <c r="G24" s="1483"/>
      <c r="H24" s="1483"/>
      <c r="I24" s="1483"/>
      <c r="J24" s="1483"/>
      <c r="K24" s="1483"/>
      <c r="L24" s="1483"/>
      <c r="M24" s="1483"/>
      <c r="N24" s="1483"/>
      <c r="O24" s="1484"/>
      <c r="P24" s="1484"/>
      <c r="Q24" s="1484"/>
      <c r="R24" s="1484"/>
      <c r="S24" s="558"/>
    </row>
    <row r="25" spans="3:19" ht="13" thickBot="1">
      <c r="S25" s="558"/>
    </row>
    <row r="26" spans="3:19" ht="12.75" customHeight="1" thickTop="1">
      <c r="C26" s="419" t="s">
        <v>666</v>
      </c>
      <c r="D26" s="559"/>
      <c r="E26" s="420" t="s">
        <v>777</v>
      </c>
      <c r="F26" s="421" t="s">
        <v>668</v>
      </c>
      <c r="H26" s="419" t="s">
        <v>666</v>
      </c>
      <c r="I26" s="420" t="s">
        <v>777</v>
      </c>
      <c r="J26" s="421" t="s">
        <v>668</v>
      </c>
      <c r="L26" s="419" t="s">
        <v>666</v>
      </c>
      <c r="M26" s="420" t="s">
        <v>777</v>
      </c>
      <c r="N26" s="421" t="s">
        <v>668</v>
      </c>
      <c r="O26" s="144"/>
      <c r="P26" s="1497" t="str">
        <f ca="1">OFFSET(ad_first,OFFSET(ads_top,ROW(ads_aggregating)-1,2),0)</f>
        <v>Feedback from our Visual Basic course: "The material covered will be very useful at work as the CD and workbook provided"</v>
      </c>
      <c r="Q26" s="1498"/>
      <c r="R26" s="1499"/>
      <c r="S26" s="558"/>
    </row>
    <row r="27" spans="3:19">
      <c r="C27" s="560">
        <v>40058</v>
      </c>
      <c r="D27" s="561"/>
      <c r="E27" s="423" t="s">
        <v>671</v>
      </c>
      <c r="F27" s="424">
        <v>36.74</v>
      </c>
      <c r="H27" s="560">
        <v>40058</v>
      </c>
      <c r="I27" s="423" t="s">
        <v>672</v>
      </c>
      <c r="J27" s="424">
        <v>68.98</v>
      </c>
      <c r="L27" s="560">
        <v>40058</v>
      </c>
      <c r="M27" s="423" t="s">
        <v>673</v>
      </c>
      <c r="N27" s="424">
        <v>94.54</v>
      </c>
      <c r="O27" s="73">
        <v>7</v>
      </c>
      <c r="P27" s="1500"/>
      <c r="Q27" s="1501"/>
      <c r="R27" s="1502"/>
      <c r="S27" s="558"/>
    </row>
    <row r="28" spans="3:19">
      <c r="C28" s="560">
        <v>40093</v>
      </c>
      <c r="D28" s="561"/>
      <c r="E28" s="423" t="s">
        <v>674</v>
      </c>
      <c r="F28" s="424">
        <v>3.92</v>
      </c>
      <c r="H28" s="560">
        <v>40145</v>
      </c>
      <c r="I28" s="423" t="s">
        <v>675</v>
      </c>
      <c r="J28" s="424">
        <v>25.93</v>
      </c>
      <c r="L28" s="560">
        <v>40100</v>
      </c>
      <c r="M28" s="423" t="s">
        <v>676</v>
      </c>
      <c r="N28" s="424">
        <v>89.01</v>
      </c>
      <c r="O28" s="73">
        <v>14</v>
      </c>
      <c r="P28" s="1500"/>
      <c r="Q28" s="1501"/>
      <c r="R28" s="1502"/>
      <c r="S28" s="558"/>
    </row>
    <row r="29" spans="3:19">
      <c r="C29" s="560">
        <v>40123</v>
      </c>
      <c r="D29" s="561"/>
      <c r="E29" s="423" t="s">
        <v>677</v>
      </c>
      <c r="F29" s="424">
        <v>83.02</v>
      </c>
      <c r="H29" s="560">
        <v>40143</v>
      </c>
      <c r="I29" s="423" t="s">
        <v>678</v>
      </c>
      <c r="J29" s="424">
        <v>64.739999999999995</v>
      </c>
      <c r="L29" s="560">
        <v>40143</v>
      </c>
      <c r="M29" s="423" t="s">
        <v>679</v>
      </c>
      <c r="N29" s="424">
        <v>49.96</v>
      </c>
      <c r="O29" s="562">
        <v>28</v>
      </c>
      <c r="P29" s="1500"/>
      <c r="Q29" s="1501"/>
      <c r="R29" s="1502"/>
      <c r="S29" s="558"/>
    </row>
    <row r="30" spans="3:19" ht="13" thickBot="1">
      <c r="C30" s="560">
        <v>40111</v>
      </c>
      <c r="D30" s="561"/>
      <c r="E30" s="423" t="s">
        <v>680</v>
      </c>
      <c r="F30" s="424">
        <v>2.2999999999999998</v>
      </c>
      <c r="H30" s="560">
        <v>40070</v>
      </c>
      <c r="I30" s="423" t="s">
        <v>681</v>
      </c>
      <c r="J30" s="424">
        <v>52.75</v>
      </c>
      <c r="L30" s="560">
        <v>40142</v>
      </c>
      <c r="M30" s="423" t="s">
        <v>682</v>
      </c>
      <c r="N30" s="424">
        <v>77.52</v>
      </c>
      <c r="O30" s="541">
        <v>1</v>
      </c>
      <c r="P30" s="1503"/>
      <c r="Q30" s="1504"/>
      <c r="R30" s="1505"/>
      <c r="S30" s="558"/>
    </row>
    <row r="31" spans="3:19" ht="13" thickTop="1">
      <c r="C31" s="560">
        <v>40129</v>
      </c>
      <c r="D31" s="561"/>
      <c r="E31" s="423" t="s">
        <v>683</v>
      </c>
      <c r="F31" s="424">
        <v>24.06</v>
      </c>
      <c r="H31" s="560">
        <v>40063</v>
      </c>
      <c r="I31" s="423" t="s">
        <v>684</v>
      </c>
      <c r="J31" s="424">
        <v>35.869999999999997</v>
      </c>
      <c r="L31" s="560">
        <v>40104</v>
      </c>
      <c r="M31" s="423" t="s">
        <v>685</v>
      </c>
      <c r="N31" s="424">
        <v>45.08</v>
      </c>
      <c r="O31" s="563" t="s">
        <v>669</v>
      </c>
      <c r="P31" s="1310"/>
      <c r="Q31" s="1311"/>
      <c r="R31" s="1311"/>
      <c r="S31" s="558"/>
    </row>
    <row r="32" spans="3:19">
      <c r="C32" s="560">
        <v>40143</v>
      </c>
      <c r="D32" s="561"/>
      <c r="E32" s="423" t="s">
        <v>686</v>
      </c>
      <c r="F32" s="424">
        <v>80.930000000000007</v>
      </c>
      <c r="H32" s="560">
        <v>40097</v>
      </c>
      <c r="I32" s="423" t="s">
        <v>687</v>
      </c>
      <c r="J32" s="424">
        <v>14.07</v>
      </c>
      <c r="L32" s="560">
        <v>40081</v>
      </c>
      <c r="M32" s="423" t="s">
        <v>688</v>
      </c>
      <c r="N32" s="424">
        <v>65.099999999999994</v>
      </c>
      <c r="O32" s="564" t="s">
        <v>670</v>
      </c>
      <c r="P32" s="564">
        <f>MAX(dates)+G39</f>
        <v>40159</v>
      </c>
      <c r="S32" s="558"/>
    </row>
    <row r="33" spans="1:19">
      <c r="C33" s="560">
        <v>40096</v>
      </c>
      <c r="D33" s="561"/>
      <c r="E33" s="423" t="s">
        <v>689</v>
      </c>
      <c r="F33" s="424">
        <v>69.58</v>
      </c>
      <c r="H33" s="560">
        <v>40132</v>
      </c>
      <c r="I33" s="423" t="s">
        <v>690</v>
      </c>
      <c r="J33" s="424">
        <v>44.01</v>
      </c>
      <c r="L33" s="560">
        <v>40132</v>
      </c>
      <c r="M33" s="423" t="s">
        <v>691</v>
      </c>
      <c r="N33" s="424">
        <v>58.66</v>
      </c>
      <c r="P33" s="428"/>
      <c r="S33" s="558"/>
    </row>
    <row r="34" spans="1:19">
      <c r="C34" s="560">
        <v>40070</v>
      </c>
      <c r="D34" s="561"/>
      <c r="E34" s="423" t="s">
        <v>692</v>
      </c>
      <c r="F34" s="424">
        <v>28.15</v>
      </c>
      <c r="H34" s="560">
        <v>40128</v>
      </c>
      <c r="I34" s="423" t="s">
        <v>693</v>
      </c>
      <c r="J34" s="424">
        <v>91.38</v>
      </c>
      <c r="L34" s="560">
        <v>40128</v>
      </c>
      <c r="M34" s="423" t="s">
        <v>694</v>
      </c>
      <c r="N34" s="424">
        <v>87.32</v>
      </c>
      <c r="P34" s="428"/>
      <c r="S34" s="558"/>
    </row>
    <row r="35" spans="1:19">
      <c r="C35" s="565">
        <v>40102</v>
      </c>
      <c r="D35" s="566"/>
      <c r="E35" s="426" t="s">
        <v>695</v>
      </c>
      <c r="F35" s="427">
        <v>79.88</v>
      </c>
      <c r="H35" s="565">
        <v>40094</v>
      </c>
      <c r="I35" s="426" t="s">
        <v>696</v>
      </c>
      <c r="J35" s="427">
        <v>81.849999999999994</v>
      </c>
      <c r="L35" s="565">
        <v>40078</v>
      </c>
      <c r="M35" s="426" t="s">
        <v>697</v>
      </c>
      <c r="N35" s="427">
        <v>88.07</v>
      </c>
      <c r="P35" s="428"/>
      <c r="S35" s="558"/>
    </row>
    <row r="36" spans="1:19">
      <c r="C36" s="567"/>
      <c r="D36" s="567"/>
      <c r="E36" s="33"/>
      <c r="F36" s="568"/>
      <c r="H36" s="567"/>
      <c r="I36" s="33"/>
      <c r="J36" s="568"/>
      <c r="L36" s="567"/>
      <c r="M36" s="33"/>
      <c r="N36" s="568"/>
      <c r="P36" s="428"/>
      <c r="S36" s="558"/>
    </row>
    <row r="37" spans="1:19">
      <c r="C37" s="1483" t="s">
        <v>1357</v>
      </c>
      <c r="D37" s="1483"/>
      <c r="E37" s="1483"/>
      <c r="F37" s="1483"/>
      <c r="G37" s="1483"/>
      <c r="H37" s="1483"/>
      <c r="I37" s="1483"/>
      <c r="J37" s="1483"/>
      <c r="K37" s="1483"/>
      <c r="L37" s="1483"/>
      <c r="M37" s="1483"/>
      <c r="N37" s="1483"/>
      <c r="O37" s="1484"/>
      <c r="P37" s="1484"/>
      <c r="Q37" s="1484"/>
      <c r="R37" s="1484"/>
      <c r="S37" s="558"/>
    </row>
    <row r="38" spans="1:19">
      <c r="C38" s="125"/>
      <c r="D38" s="125"/>
      <c r="E38" s="125"/>
      <c r="F38" s="125"/>
      <c r="G38" s="125"/>
    </row>
    <row r="39" spans="1:19">
      <c r="C39" s="553" t="s">
        <v>1356</v>
      </c>
      <c r="D39" s="569"/>
      <c r="E39" s="570"/>
      <c r="F39" s="571"/>
      <c r="G39" s="572">
        <v>14</v>
      </c>
      <c r="H39" s="83"/>
      <c r="I39" s="83"/>
      <c r="J39" s="270" t="e">
        <f ca="1">CF()</f>
        <v>#NAME?</v>
      </c>
      <c r="M39" s="573"/>
    </row>
    <row r="40" spans="1:19">
      <c r="A40" s="236"/>
      <c r="B40" s="236"/>
      <c r="C40" s="125"/>
      <c r="D40" s="125"/>
      <c r="E40" s="125"/>
      <c r="F40" s="125"/>
      <c r="G40" s="125"/>
      <c r="O40" s="573"/>
    </row>
    <row r="41" spans="1:19">
      <c r="A41" s="236"/>
      <c r="B41" s="236"/>
      <c r="C41" s="1483" t="s">
        <v>1504</v>
      </c>
      <c r="D41" s="1483"/>
      <c r="E41" s="1483"/>
      <c r="F41" s="1483"/>
      <c r="G41" s="1483"/>
      <c r="H41" s="1483"/>
      <c r="I41" s="1483"/>
      <c r="J41" s="1483"/>
      <c r="K41" s="1483"/>
      <c r="L41" s="1483"/>
      <c r="M41" s="1483"/>
      <c r="N41" s="1483"/>
      <c r="O41" s="1484"/>
      <c r="P41" s="1484"/>
      <c r="Q41" s="1484"/>
      <c r="R41" s="1484"/>
    </row>
    <row r="42" spans="1:19" s="575" customFormat="1">
      <c r="A42" s="574"/>
      <c r="B42" s="574"/>
    </row>
    <row r="43" spans="1:19" s="575" customFormat="1" ht="14.25" customHeight="1">
      <c r="A43" s="574"/>
      <c r="B43" s="574"/>
      <c r="C43" s="1487" t="s">
        <v>1358</v>
      </c>
      <c r="D43" s="576"/>
      <c r="E43" s="577">
        <f t="shared" ref="E43:R43" si="0">SUMPRODUCT(($C$27:$C$35&gt;=E53)*($C$27:$C$35&lt;F53))+SUMPRODUCT(($H$27:$H$35&gt;=E53)*($H$27:$H$35&lt;F53))+SUMPRODUCT(($L$27:$L$35&gt;=E53)*($L$27:$L$35&lt;F53))</f>
        <v>6</v>
      </c>
      <c r="F43" s="578">
        <f t="shared" si="0"/>
        <v>2</v>
      </c>
      <c r="G43" s="578">
        <f t="shared" si="0"/>
        <v>4</v>
      </c>
      <c r="H43" s="579">
        <f t="shared" si="0"/>
        <v>4</v>
      </c>
      <c r="I43" s="578">
        <f t="shared" si="0"/>
        <v>1</v>
      </c>
      <c r="J43" s="578">
        <f t="shared" si="0"/>
        <v>5</v>
      </c>
      <c r="K43" s="578">
        <f t="shared" si="0"/>
        <v>5</v>
      </c>
      <c r="L43" s="578">
        <f t="shared" si="0"/>
        <v>0</v>
      </c>
      <c r="M43" s="578">
        <f t="shared" si="0"/>
        <v>0</v>
      </c>
      <c r="N43" s="578">
        <f t="shared" si="0"/>
        <v>0</v>
      </c>
      <c r="O43" s="578">
        <f t="shared" si="0"/>
        <v>0</v>
      </c>
      <c r="P43" s="579">
        <f t="shared" si="0"/>
        <v>0</v>
      </c>
      <c r="Q43" s="578">
        <f t="shared" si="0"/>
        <v>0</v>
      </c>
      <c r="R43" s="580">
        <f t="shared" si="0"/>
        <v>0</v>
      </c>
    </row>
    <row r="44" spans="1:19" s="575" customFormat="1" ht="6.75" customHeight="1">
      <c r="C44" s="1488"/>
      <c r="D44" s="574">
        <f t="shared" ref="D44:D50" si="1">D45+1</f>
        <v>9</v>
      </c>
      <c r="E44" s="581"/>
      <c r="F44" s="582"/>
      <c r="G44" s="582"/>
      <c r="H44" s="582"/>
      <c r="I44" s="582"/>
      <c r="J44" s="582"/>
      <c r="K44" s="582"/>
      <c r="L44" s="582"/>
      <c r="M44" s="582"/>
      <c r="N44" s="582"/>
      <c r="O44" s="582"/>
      <c r="P44" s="582"/>
      <c r="Q44" s="582"/>
      <c r="R44" s="583"/>
    </row>
    <row r="45" spans="1:19" s="575" customFormat="1" ht="6.75" customHeight="1">
      <c r="C45" s="1488"/>
      <c r="D45" s="574">
        <f t="shared" si="1"/>
        <v>8</v>
      </c>
      <c r="E45" s="584"/>
      <c r="F45" s="585"/>
      <c r="G45" s="585"/>
      <c r="H45" s="585"/>
      <c r="I45" s="585"/>
      <c r="J45" s="585"/>
      <c r="K45" s="585"/>
      <c r="L45" s="585"/>
      <c r="M45" s="585"/>
      <c r="N45" s="585"/>
      <c r="O45" s="585"/>
      <c r="P45" s="585"/>
      <c r="Q45" s="585"/>
      <c r="R45" s="586"/>
    </row>
    <row r="46" spans="1:19" s="575" customFormat="1" ht="6.75" customHeight="1">
      <c r="C46" s="1488"/>
      <c r="D46" s="574">
        <f t="shared" si="1"/>
        <v>7</v>
      </c>
      <c r="E46" s="584"/>
      <c r="F46" s="585"/>
      <c r="G46" s="585"/>
      <c r="H46" s="585"/>
      <c r="I46" s="585"/>
      <c r="J46" s="585"/>
      <c r="K46" s="585"/>
      <c r="L46" s="585"/>
      <c r="M46" s="585"/>
      <c r="N46" s="585"/>
      <c r="O46" s="585"/>
      <c r="P46" s="585"/>
      <c r="Q46" s="585"/>
      <c r="R46" s="586"/>
    </row>
    <row r="47" spans="1:19" s="575" customFormat="1" ht="6.75" customHeight="1">
      <c r="C47" s="1488"/>
      <c r="D47" s="574">
        <f t="shared" si="1"/>
        <v>6</v>
      </c>
      <c r="E47" s="584"/>
      <c r="F47" s="585"/>
      <c r="G47" s="585"/>
      <c r="H47" s="585"/>
      <c r="I47" s="585"/>
      <c r="J47" s="585"/>
      <c r="K47" s="585"/>
      <c r="L47" s="585"/>
      <c r="M47" s="585"/>
      <c r="N47" s="585"/>
      <c r="O47" s="585"/>
      <c r="P47" s="585"/>
      <c r="Q47" s="585"/>
      <c r="R47" s="586"/>
    </row>
    <row r="48" spans="1:19" s="575" customFormat="1" ht="6.75" customHeight="1">
      <c r="C48" s="1488"/>
      <c r="D48" s="574">
        <f t="shared" si="1"/>
        <v>5</v>
      </c>
      <c r="E48" s="584"/>
      <c r="F48" s="585"/>
      <c r="G48" s="585"/>
      <c r="H48" s="585"/>
      <c r="I48" s="585"/>
      <c r="J48" s="585"/>
      <c r="K48" s="585"/>
      <c r="L48" s="585"/>
      <c r="M48" s="585"/>
      <c r="N48" s="585"/>
      <c r="O48" s="585"/>
      <c r="P48" s="585"/>
      <c r="Q48" s="585"/>
      <c r="R48" s="586"/>
    </row>
    <row r="49" spans="1:19" s="575" customFormat="1" ht="6.75" customHeight="1">
      <c r="C49" s="1488"/>
      <c r="D49" s="574">
        <f t="shared" si="1"/>
        <v>4</v>
      </c>
      <c r="E49" s="584"/>
      <c r="F49" s="585"/>
      <c r="G49" s="585"/>
      <c r="H49" s="585"/>
      <c r="I49" s="585"/>
      <c r="J49" s="585"/>
      <c r="K49" s="585"/>
      <c r="L49" s="585"/>
      <c r="M49" s="585"/>
      <c r="N49" s="585"/>
      <c r="O49" s="585"/>
      <c r="P49" s="585"/>
      <c r="Q49" s="585"/>
      <c r="R49" s="586"/>
    </row>
    <row r="50" spans="1:19" s="575" customFormat="1" ht="6.75" customHeight="1">
      <c r="C50" s="1488"/>
      <c r="D50" s="574">
        <f t="shared" si="1"/>
        <v>3</v>
      </c>
      <c r="E50" s="584"/>
      <c r="F50" s="585"/>
      <c r="G50" s="585"/>
      <c r="H50" s="585"/>
      <c r="I50" s="585"/>
      <c r="J50" s="585"/>
      <c r="K50" s="585"/>
      <c r="L50" s="585"/>
      <c r="M50" s="585"/>
      <c r="N50" s="585"/>
      <c r="O50" s="585"/>
      <c r="P50" s="585"/>
      <c r="Q50" s="585"/>
      <c r="R50" s="586"/>
    </row>
    <row r="51" spans="1:19" s="575" customFormat="1" ht="6.75" customHeight="1">
      <c r="C51" s="1488"/>
      <c r="D51" s="574">
        <f>D52+1</f>
        <v>2</v>
      </c>
      <c r="E51" s="584"/>
      <c r="F51" s="585"/>
      <c r="G51" s="585"/>
      <c r="H51" s="585"/>
      <c r="I51" s="585"/>
      <c r="J51" s="585"/>
      <c r="K51" s="585"/>
      <c r="L51" s="585"/>
      <c r="M51" s="585"/>
      <c r="N51" s="585"/>
      <c r="O51" s="585"/>
      <c r="P51" s="585"/>
      <c r="Q51" s="585"/>
      <c r="R51" s="586"/>
    </row>
    <row r="52" spans="1:19" s="575" customFormat="1" ht="6.75" customHeight="1">
      <c r="C52" s="1488"/>
      <c r="D52" s="574">
        <v>1</v>
      </c>
      <c r="E52" s="587"/>
      <c r="F52" s="588"/>
      <c r="G52" s="588"/>
      <c r="H52" s="588"/>
      <c r="I52" s="588"/>
      <c r="J52" s="588"/>
      <c r="K52" s="588"/>
      <c r="L52" s="588"/>
      <c r="M52" s="588"/>
      <c r="N52" s="588"/>
      <c r="O52" s="588"/>
      <c r="P52" s="588"/>
      <c r="Q52" s="588"/>
      <c r="R52" s="589"/>
    </row>
    <row r="53" spans="1:19" s="428" customFormat="1">
      <c r="A53" s="590"/>
      <c r="B53" s="590"/>
      <c r="C53" s="1489"/>
      <c r="D53" s="591"/>
      <c r="E53" s="592">
        <f>MIN(dates)</f>
        <v>40058</v>
      </c>
      <c r="F53" s="593">
        <f t="shared" ref="F53:K53" si="2">IF(E53="","",IF(E53+$G$39&gt;$P$32,"",E53+$G$39))</f>
        <v>40072</v>
      </c>
      <c r="G53" s="593">
        <f t="shared" si="2"/>
        <v>40086</v>
      </c>
      <c r="H53" s="593">
        <f t="shared" si="2"/>
        <v>40100</v>
      </c>
      <c r="I53" s="593">
        <f t="shared" si="2"/>
        <v>40114</v>
      </c>
      <c r="J53" s="593">
        <f t="shared" si="2"/>
        <v>40128</v>
      </c>
      <c r="K53" s="593">
        <f t="shared" si="2"/>
        <v>40142</v>
      </c>
      <c r="L53" s="593">
        <f>IF(K53="","",IF(K53+$G$39&gt;=$P$32,"",K53+$G$39))</f>
        <v>40156</v>
      </c>
      <c r="M53" s="593" t="str">
        <f t="shared" ref="M53:S53" si="3">IF(L53="","",IF(L53+$G$39&gt;$P$32,"",L53+$G$39))</f>
        <v/>
      </c>
      <c r="N53" s="593" t="str">
        <f t="shared" si="3"/>
        <v/>
      </c>
      <c r="O53" s="593" t="str">
        <f t="shared" si="3"/>
        <v/>
      </c>
      <c r="P53" s="593" t="str">
        <f t="shared" si="3"/>
        <v/>
      </c>
      <c r="Q53" s="593" t="str">
        <f t="shared" si="3"/>
        <v/>
      </c>
      <c r="R53" s="594" t="str">
        <f t="shared" si="3"/>
        <v/>
      </c>
      <c r="S53" s="428" t="str">
        <f t="shared" si="3"/>
        <v/>
      </c>
    </row>
    <row r="54" spans="1:19" s="428" customFormat="1">
      <c r="A54" s="590"/>
      <c r="B54" s="590"/>
      <c r="C54" s="1490"/>
      <c r="D54" s="595"/>
      <c r="E54" s="596">
        <f t="shared" ref="E54:R54" si="4">IF(LEN(E53)=0,"",E53+$G$39-1)</f>
        <v>40071</v>
      </c>
      <c r="F54" s="597">
        <f t="shared" si="4"/>
        <v>40085</v>
      </c>
      <c r="G54" s="597">
        <f t="shared" si="4"/>
        <v>40099</v>
      </c>
      <c r="H54" s="597">
        <f t="shared" si="4"/>
        <v>40113</v>
      </c>
      <c r="I54" s="597">
        <f t="shared" si="4"/>
        <v>40127</v>
      </c>
      <c r="J54" s="597">
        <f t="shared" si="4"/>
        <v>40141</v>
      </c>
      <c r="K54" s="597">
        <f t="shared" si="4"/>
        <v>40155</v>
      </c>
      <c r="L54" s="597">
        <f t="shared" si="4"/>
        <v>40169</v>
      </c>
      <c r="M54" s="597" t="str">
        <f t="shared" si="4"/>
        <v/>
      </c>
      <c r="N54" s="597" t="str">
        <f t="shared" si="4"/>
        <v/>
      </c>
      <c r="O54" s="597" t="str">
        <f t="shared" si="4"/>
        <v/>
      </c>
      <c r="P54" s="597" t="str">
        <f t="shared" si="4"/>
        <v/>
      </c>
      <c r="Q54" s="597" t="str">
        <f t="shared" si="4"/>
        <v/>
      </c>
      <c r="R54" s="598" t="str">
        <f t="shared" si="4"/>
        <v/>
      </c>
    </row>
    <row r="55" spans="1:19">
      <c r="A55" s="590"/>
      <c r="B55" s="590"/>
    </row>
    <row r="56" spans="1:19">
      <c r="C56" s="1454" t="str">
        <f>back_to_index</f>
        <v>Back to contents</v>
      </c>
      <c r="D56" s="1454"/>
      <c r="E56" s="1481"/>
      <c r="J56" s="33"/>
      <c r="K56" s="1482" t="str">
        <f>page_prefix&amp; page_Aggregating &amp; page_suffix</f>
        <v>- Page 3 -</v>
      </c>
      <c r="L56" s="1482"/>
      <c r="M56" s="33"/>
      <c r="Q56" s="1485" t="str">
        <f>back_to_top</f>
        <v>Back to top</v>
      </c>
      <c r="R56" s="1486"/>
      <c r="S56" s="1486"/>
    </row>
    <row r="57" spans="1:19">
      <c r="J57" s="1482" t="str">
        <f>copyright</f>
        <v>Copyright (c) 2009 Tykoh Group Pty Limited</v>
      </c>
      <c r="K57" s="1482"/>
      <c r="L57" s="1482"/>
      <c r="M57" s="1482"/>
    </row>
    <row r="58" spans="1:19">
      <c r="J58" s="1452" t="str">
        <f>home_address</f>
        <v>www.tykoh.com</v>
      </c>
      <c r="K58" s="1452"/>
      <c r="L58" s="1452"/>
      <c r="M58" s="1452"/>
      <c r="Q58" s="1481"/>
      <c r="R58" s="1481"/>
    </row>
    <row r="59" spans="1:19"/>
  </sheetData>
  <sheetProtection algorithmName="SHA-512" hashValue="GRJUaj8L/c2ZGw/ump45ZXDa5/IZ9WkdxF/+tZK/LX9vSmMtESdiHeL4UtfH1OruJVN1RdwCaW4SU97FYlPawA==" saltValue="wZ4WVZXlAstGEktGGPZ/Bg==" spinCount="100000" sheet="1" objects="1" scenarios="1"/>
  <mergeCells count="18">
    <mergeCell ref="Q2:R2"/>
    <mergeCell ref="C16:R20"/>
    <mergeCell ref="C24:R24"/>
    <mergeCell ref="C37:R37"/>
    <mergeCell ref="J2:M2"/>
    <mergeCell ref="C3:R3"/>
    <mergeCell ref="P26:R30"/>
    <mergeCell ref="P4:R8"/>
    <mergeCell ref="C5:O9"/>
    <mergeCell ref="C10:R12"/>
    <mergeCell ref="J58:M58"/>
    <mergeCell ref="Q58:R58"/>
    <mergeCell ref="J57:M57"/>
    <mergeCell ref="C41:R41"/>
    <mergeCell ref="Q56:S56"/>
    <mergeCell ref="K56:L56"/>
    <mergeCell ref="C43:C54"/>
    <mergeCell ref="C56:E56"/>
  </mergeCells>
  <phoneticPr fontId="2" type="noConversion"/>
  <conditionalFormatting sqref="E44:R52">
    <cfRule type="expression" dxfId="99" priority="1" stopIfTrue="1">
      <formula>E$43&gt;$D44</formula>
    </cfRule>
    <cfRule type="expression" dxfId="98" priority="2" stopIfTrue="1">
      <formula>E$43=$D44</formula>
    </cfRule>
  </conditionalFormatting>
  <dataValidations disablePrompts="1" count="1">
    <dataValidation type="list" allowBlank="1" showInputMessage="1" showErrorMessage="1" sqref="G39" xr:uid="{00000000-0002-0000-0200-000000000000}">
      <formula1>"7,14,28"</formula1>
    </dataValidation>
  </dataValidations>
  <hyperlinks>
    <hyperlink ref="Q56" location="hh_aggregating" display="hh_aggregating" xr:uid="{00000000-0004-0000-0200-000000000000}"/>
    <hyperlink ref="C56:D56" location="hh_index" display="hh_index" xr:uid="{00000000-0004-0000-0200-000001000000}"/>
    <hyperlink ref="J58:M58" r:id="rId1" display="https://www.tykoh.com/" xr:uid="{00000000-0004-0000-0200-000002000000}"/>
  </hyperlinks>
  <pageMargins left="0.75" right="0.75" top="1" bottom="1" header="0.5" footer="0.5"/>
  <pageSetup scale="74" orientation="portrait" r:id="rId2"/>
  <headerFooter alignWithMargins="0"/>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3:V48"/>
  <sheetViews>
    <sheetView workbookViewId="0"/>
  </sheetViews>
  <sheetFormatPr defaultRowHeight="12.5"/>
  <cols>
    <col min="1" max="2" width="1" customWidth="1"/>
    <col min="3" max="3" width="13.54296875" bestFit="1" customWidth="1"/>
    <col min="20" max="20" width="12.453125" bestFit="1" customWidth="1"/>
  </cols>
  <sheetData>
    <row r="3" spans="1:22">
      <c r="A3" s="2"/>
    </row>
    <row r="6" spans="1:22" ht="50">
      <c r="A6" s="21"/>
      <c r="B6" s="21"/>
      <c r="C6" s="21" t="s">
        <v>499</v>
      </c>
      <c r="D6" s="21" t="s">
        <v>808</v>
      </c>
      <c r="E6" s="21" t="s">
        <v>810</v>
      </c>
      <c r="F6" s="21" t="s">
        <v>825</v>
      </c>
      <c r="G6" s="21" t="s">
        <v>824</v>
      </c>
      <c r="H6" s="21" t="s">
        <v>655</v>
      </c>
      <c r="I6" s="21" t="s">
        <v>658</v>
      </c>
      <c r="J6" s="21" t="s">
        <v>656</v>
      </c>
      <c r="K6" s="21" t="s">
        <v>657</v>
      </c>
      <c r="L6" s="21" t="s">
        <v>659</v>
      </c>
      <c r="M6" s="21" t="s">
        <v>827</v>
      </c>
      <c r="N6" s="21" t="s">
        <v>828</v>
      </c>
      <c r="O6" s="21" t="s">
        <v>660</v>
      </c>
      <c r="P6" s="21" t="s">
        <v>661</v>
      </c>
      <c r="Q6" s="21" t="s">
        <v>826</v>
      </c>
      <c r="R6" s="21" t="s">
        <v>829</v>
      </c>
      <c r="S6" s="21" t="s">
        <v>830</v>
      </c>
      <c r="T6" s="21" t="s">
        <v>831</v>
      </c>
    </row>
    <row r="7" spans="1:22">
      <c r="A7" t="str">
        <f>IF(Valuing_Option!C27,"Option "&amp;Valuing_Option!D27&amp; " = " &amp; Valuing_Option!C20,"&lt;not shown&gt;")</f>
        <v>Option 1 = Call (european)</v>
      </c>
      <c r="C7" s="6" t="str">
        <f>CHOOSE($C$16,Valuing_Option!C20,Valuing_Option!C21,Valuing_Option!C22)</f>
        <v>Call (european)</v>
      </c>
      <c r="D7" s="6">
        <f>CHOOSE($C$16,Valuing_Option!E20,Valuing_Option!E21,Valuing_Option!E22)</f>
        <v>0.1</v>
      </c>
      <c r="E7" s="6">
        <f>CHOOSE($C$16,Valuing_Option!F20,Valuing_Option!F21,Valuing_Option!F22)</f>
        <v>1</v>
      </c>
      <c r="F7" s="6" t="str">
        <f>CHOOSE($C$16,Valuing_Option!C20,Valuing_Option!C21,Valuing_Option!C22)</f>
        <v>Call (european)</v>
      </c>
      <c r="G7" s="6">
        <f>MATCH(F7,option_type_table,0)</f>
        <v>2</v>
      </c>
      <c r="H7" s="6">
        <f>(C15+(C14-C15)*(C17-1)/(C13-1))*Valuing_Option!L18</f>
        <v>60</v>
      </c>
      <c r="I7" s="6">
        <f>CHOOSE($C$16,Valuing_Option!D20,Valuing_Option!D21,Valuing_Option!D22)</f>
        <v>100</v>
      </c>
      <c r="J7" s="23">
        <f>K7-Valuing_Option!K21</f>
        <v>0.04</v>
      </c>
      <c r="K7" s="23">
        <f>Valuing_Option!K22</f>
        <v>5.5E-2</v>
      </c>
      <c r="L7" s="24">
        <f>(LN(H7/I7)+(J7-Valuing_Option!K20^2/2)*D7)/(Valuing_Option!K20*SQRT(D7))</f>
        <v>-8.0452395147821658</v>
      </c>
      <c r="M7" s="6">
        <f>(LN(H7/I7)+(Valuing_Option!K22-Valuing_Option!K21+Valuing_Option!K20^2/2)*D7)/(Valuing_Option!K20*SQRT(D7))</f>
        <v>-7.9819939615787971</v>
      </c>
      <c r="N7" s="6">
        <f>M7-Valuing_Option!K20*SQRT(D7)</f>
        <v>-8.045239514782164</v>
      </c>
      <c r="O7" s="6">
        <f>NORMSDIST(L7)</f>
        <v>4.3038452897438678E-16</v>
      </c>
      <c r="P7" s="6">
        <f>NORMSDIST(-L7)</f>
        <v>0.99999999999999956</v>
      </c>
      <c r="Q7" s="6">
        <f>NORMSDIST(M7)</f>
        <v>7.1994037560856956E-16</v>
      </c>
      <c r="R7" s="6">
        <f>NORMSDIST(-M7)</f>
        <v>0.99999999999999933</v>
      </c>
      <c r="S7" s="6">
        <f>NORMSDIST(N7)</f>
        <v>4.3038452897438998E-16</v>
      </c>
      <c r="T7" s="6">
        <f>NORMSDIST(-N7)</f>
        <v>0.99999999999999956</v>
      </c>
    </row>
    <row r="8" spans="1:22">
      <c r="A8" t="str">
        <f>IF(Valuing_Option!C28,"Option "&amp;Valuing_Option!D28&amp; " = " &amp; Valuing_Option!C21,"&lt;not shown&gt;")</f>
        <v>Option 2 = Call (european)</v>
      </c>
      <c r="C8" s="6"/>
      <c r="D8" s="6"/>
      <c r="E8" s="6"/>
      <c r="F8" s="6"/>
    </row>
    <row r="9" spans="1:22">
      <c r="A9" t="str">
        <f>IF(Valuing_Option!C29,"Option "&amp;Valuing_Option!D29&amp; " = " &amp; Valuing_Option!C22,"&lt;not shown&gt;")</f>
        <v>Option 3 = Call (asset-or-nothing)</v>
      </c>
      <c r="C9" s="6"/>
      <c r="D9" s="6"/>
      <c r="E9" s="6"/>
      <c r="F9" s="6"/>
      <c r="K9" s="1671" t="s">
        <v>821</v>
      </c>
      <c r="L9" s="1671"/>
      <c r="M9" s="1671" t="s">
        <v>822</v>
      </c>
      <c r="N9" s="1671"/>
      <c r="O9" s="1671" t="s">
        <v>823</v>
      </c>
      <c r="P9" s="1671"/>
      <c r="Q9" s="1671" t="s">
        <v>1346</v>
      </c>
      <c r="R9" s="1671"/>
    </row>
    <row r="10" spans="1:22" ht="25">
      <c r="A10" t="str">
        <f>IF(Valuing_Option!C31,"Total","&lt;not shown&gt;")</f>
        <v>&lt;not shown&gt;</v>
      </c>
      <c r="D10">
        <f>T19</f>
        <v>3.29285303073998E-16</v>
      </c>
      <c r="E10">
        <v>1</v>
      </c>
      <c r="F10">
        <f>E10+1</f>
        <v>2</v>
      </c>
      <c r="G10">
        <f>F10+1</f>
        <v>3</v>
      </c>
      <c r="I10" t="s">
        <v>820</v>
      </c>
      <c r="J10" s="21" t="s">
        <v>819</v>
      </c>
      <c r="K10" t="s">
        <v>699</v>
      </c>
      <c r="L10" t="s">
        <v>698</v>
      </c>
      <c r="M10" t="s">
        <v>699</v>
      </c>
      <c r="N10" t="s">
        <v>698</v>
      </c>
      <c r="O10" t="s">
        <v>699</v>
      </c>
      <c r="P10" t="s">
        <v>698</v>
      </c>
      <c r="Q10" t="s">
        <v>699</v>
      </c>
      <c r="R10" t="s">
        <v>698</v>
      </c>
      <c r="T10" t="s">
        <v>811</v>
      </c>
      <c r="V10">
        <f>H7</f>
        <v>60</v>
      </c>
    </row>
    <row r="11" spans="1:22">
      <c r="D11" s="15">
        <v>1</v>
      </c>
      <c r="E11" s="4">
        <f t="dataTable" ref="E11:G43" dt2D="1" dtr="0" r1="C16" r2="C17"/>
        <v>3.29285303073998E-16</v>
      </c>
      <c r="F11" s="4">
        <v>-2.8929636202264782E-9</v>
      </c>
      <c r="G11" s="4">
        <v>1.8785691512884515E-4</v>
      </c>
      <c r="H11" s="4"/>
      <c r="I11" s="4">
        <f>($C$15+($C$14-$C$15)*(D11-1)/($C$13-1))*Valuing_Option!$L$18</f>
        <v>60</v>
      </c>
      <c r="J11" s="4">
        <f t="shared" ref="J11:J43" si="0">SUM(E11:G11)</f>
        <v>1.8785402216555422E-4</v>
      </c>
      <c r="K11">
        <f>IF(Valuing_Option!$C$27,E11,0)</f>
        <v>3.29285303073998E-16</v>
      </c>
      <c r="L11">
        <f>IF(Valuing_Option!$C$27,$I11,Valuing_Option!$L$18)</f>
        <v>60</v>
      </c>
      <c r="M11">
        <f>IF(Valuing_Option!$C$28,F11,0)</f>
        <v>-2.8929636202264782E-9</v>
      </c>
      <c r="N11">
        <f>IF(Valuing_Option!$C$28,$I11,Valuing_Option!$L$18)</f>
        <v>60</v>
      </c>
      <c r="O11">
        <f>IF(Valuing_Option!$C$29,G11,0)</f>
        <v>1.8785691512884515E-4</v>
      </c>
      <c r="P11">
        <f>IF(Valuing_Option!$C$29,$I11,Valuing_Option!$L$18)</f>
        <v>60</v>
      </c>
      <c r="Q11">
        <f>IF(Valuing_Option!$C$31,Valuing_Option_calcs!K11+Valuing_Option_calcs!M11+Valuing_Option_calcs!O11,0)</f>
        <v>0</v>
      </c>
      <c r="R11">
        <f>IF(Valuing_Option!$C$31,Valuing_Option_calcs!I11,Valuing_Option!$L$18)</f>
        <v>100</v>
      </c>
      <c r="T11" t="s">
        <v>498</v>
      </c>
      <c r="V11" s="6">
        <f>H7*Q7*EXP((J7-K7)*D7)-I7*EXP(-Valuing_Option!K22*D7)*S7</f>
        <v>3.29285303073998E-16</v>
      </c>
    </row>
    <row r="12" spans="1:22">
      <c r="D12" s="15">
        <f t="shared" ref="D12:D43" si="1">D11+1</f>
        <v>2</v>
      </c>
      <c r="E12" s="4">
        <v>5.648442227044121E-14</v>
      </c>
      <c r="F12" s="4">
        <v>-5.4033745245765153E-7</v>
      </c>
      <c r="G12" s="4">
        <v>3.3740958230976644E-3</v>
      </c>
      <c r="H12" s="4"/>
      <c r="I12" s="4">
        <f>($C$15+($C$14-$C$15)*(D12-1)/($C$13-1))*Valuing_Option!$L$18</f>
        <v>62.5</v>
      </c>
      <c r="J12" s="4">
        <f t="shared" si="0"/>
        <v>3.373555485701691E-3</v>
      </c>
      <c r="K12">
        <f>IF(Valuing_Option!$C$27,E12,0)</f>
        <v>5.648442227044121E-14</v>
      </c>
      <c r="L12">
        <f>IF(Valuing_Option!$C$27,$I12,Valuing_Option!$L$18)</f>
        <v>62.5</v>
      </c>
      <c r="M12">
        <f>IF(Valuing_Option!$C$28,F12,0)</f>
        <v>-5.4033745245765153E-7</v>
      </c>
      <c r="N12">
        <f>IF(Valuing_Option!$C$28,$I12,Valuing_Option!$L$18)</f>
        <v>62.5</v>
      </c>
      <c r="O12">
        <f>IF(Valuing_Option!$C$29,G12,0)</f>
        <v>3.3740958230976644E-3</v>
      </c>
      <c r="P12">
        <f>IF(Valuing_Option!$C$29,$I12,Valuing_Option!$L$18)</f>
        <v>62.5</v>
      </c>
      <c r="Q12">
        <f>IF(Valuing_Option!$C$31,Valuing_Option_calcs!K12+Valuing_Option_calcs!M12+Valuing_Option_calcs!O12,0)</f>
        <v>0</v>
      </c>
      <c r="R12">
        <f>IF(Valuing_Option!$C$31,Valuing_Option_calcs!I12,Valuing_Option!$L$18)</f>
        <v>100</v>
      </c>
      <c r="T12" t="s">
        <v>832</v>
      </c>
      <c r="V12" s="6">
        <f>I7*EXP(-Valuing_Option!K22*D7)*T7-H7*EXP((J7-K7)*D7)*R7</f>
        <v>39.541442264629261</v>
      </c>
    </row>
    <row r="13" spans="1:22">
      <c r="A13" t="s">
        <v>816</v>
      </c>
      <c r="C13">
        <f>MAX(asset_price_array)</f>
        <v>33</v>
      </c>
      <c r="D13" s="15">
        <f t="shared" si="1"/>
        <v>3</v>
      </c>
      <c r="E13" s="4">
        <v>5.4154762511939869E-12</v>
      </c>
      <c r="F13" s="4">
        <v>-3.937184299496882E-5</v>
      </c>
      <c r="G13" s="4">
        <v>3.7260714700657505E-2</v>
      </c>
      <c r="H13" s="4"/>
      <c r="I13" s="4">
        <f>($C$15+($C$14-$C$15)*(D13-1)/($C$13-1))*Valuing_Option!$L$18</f>
        <v>65</v>
      </c>
      <c r="J13" s="4">
        <f t="shared" si="0"/>
        <v>3.7221342863078009E-2</v>
      </c>
      <c r="K13">
        <f>IF(Valuing_Option!$C$27,E13,0)</f>
        <v>5.4154762511939869E-12</v>
      </c>
      <c r="L13">
        <f>IF(Valuing_Option!$C$27,$I13,Valuing_Option!$L$18)</f>
        <v>65</v>
      </c>
      <c r="M13">
        <f>IF(Valuing_Option!$C$28,F13,0)</f>
        <v>-3.937184299496882E-5</v>
      </c>
      <c r="N13">
        <f>IF(Valuing_Option!$C$28,$I13,Valuing_Option!$L$18)</f>
        <v>65</v>
      </c>
      <c r="O13">
        <f>IF(Valuing_Option!$C$29,G13,0)</f>
        <v>3.7260714700657505E-2</v>
      </c>
      <c r="P13">
        <f>IF(Valuing_Option!$C$29,$I13,Valuing_Option!$L$18)</f>
        <v>65</v>
      </c>
      <c r="Q13">
        <f>IF(Valuing_Option!$C$31,Valuing_Option_calcs!K13+Valuing_Option_calcs!M13+Valuing_Option_calcs!O13,0)</f>
        <v>0</v>
      </c>
      <c r="R13">
        <f>IF(Valuing_Option!$C$31,Valuing_Option_calcs!I13,Valuing_Option!$L$18)</f>
        <v>100</v>
      </c>
      <c r="T13" t="s">
        <v>651</v>
      </c>
      <c r="V13">
        <f>1*EXP(-K7*D7)*O7</f>
        <v>4.2802391171321556E-16</v>
      </c>
    </row>
    <row r="14" spans="1:22">
      <c r="A14" t="s">
        <v>817</v>
      </c>
      <c r="C14" s="8">
        <v>1.4</v>
      </c>
      <c r="D14" s="15">
        <f t="shared" si="1"/>
        <v>4</v>
      </c>
      <c r="E14" s="4">
        <v>3.0810584056779845E-10</v>
      </c>
      <c r="F14" s="4">
        <v>-1.2534317740366119E-3</v>
      </c>
      <c r="G14" s="4">
        <v>0.26748909040343799</v>
      </c>
      <c r="H14" s="4"/>
      <c r="I14" s="4">
        <f>($C$15+($C$14-$C$15)*(D14-1)/($C$13-1))*Valuing_Option!$L$18</f>
        <v>67.5</v>
      </c>
      <c r="J14" s="4">
        <f t="shared" si="0"/>
        <v>0.26623565893750722</v>
      </c>
      <c r="K14">
        <f>IF(Valuing_Option!$C$27,E14,0)</f>
        <v>3.0810584056779845E-10</v>
      </c>
      <c r="L14">
        <f>IF(Valuing_Option!$C$27,$I14,Valuing_Option!$L$18)</f>
        <v>67.5</v>
      </c>
      <c r="M14">
        <f>IF(Valuing_Option!$C$28,F14,0)</f>
        <v>-1.2534317740366119E-3</v>
      </c>
      <c r="N14">
        <f>IF(Valuing_Option!$C$28,$I14,Valuing_Option!$L$18)</f>
        <v>67.5</v>
      </c>
      <c r="O14">
        <f>IF(Valuing_Option!$C$29,G14,0)</f>
        <v>0.26748909040343799</v>
      </c>
      <c r="P14">
        <f>IF(Valuing_Option!$C$29,$I14,Valuing_Option!$L$18)</f>
        <v>67.5</v>
      </c>
      <c r="Q14">
        <f>IF(Valuing_Option!$C$31,Valuing_Option_calcs!K14+Valuing_Option_calcs!M14+Valuing_Option_calcs!O14,0)</f>
        <v>0</v>
      </c>
      <c r="R14">
        <f>IF(Valuing_Option!$C$31,Valuing_Option_calcs!I14,Valuing_Option!$L$18)</f>
        <v>100</v>
      </c>
      <c r="T14" t="s">
        <v>652</v>
      </c>
      <c r="V14">
        <f>1*EXP(-K7*D7)*P7</f>
        <v>0.99451509730891863</v>
      </c>
    </row>
    <row r="15" spans="1:22">
      <c r="A15" t="s">
        <v>818</v>
      </c>
      <c r="C15" s="8">
        <v>0.6</v>
      </c>
      <c r="D15" s="15">
        <f t="shared" si="1"/>
        <v>5</v>
      </c>
      <c r="E15" s="4">
        <v>1.096322382010289E-8</v>
      </c>
      <c r="F15" s="4">
        <v>-1.9342966418264718E-2</v>
      </c>
      <c r="G15" s="4">
        <v>1.3124064693083346</v>
      </c>
      <c r="H15" s="4"/>
      <c r="I15" s="4">
        <f>($C$15+($C$14-$C$15)*(D15-1)/($C$13-1))*Valuing_Option!$L$18</f>
        <v>70</v>
      </c>
      <c r="J15" s="4">
        <f t="shared" si="0"/>
        <v>1.2930635138532938</v>
      </c>
      <c r="K15">
        <f>IF(Valuing_Option!$C$27,E15,0)</f>
        <v>1.096322382010289E-8</v>
      </c>
      <c r="L15">
        <f>IF(Valuing_Option!$C$27,$I15,Valuing_Option!$L$18)</f>
        <v>70</v>
      </c>
      <c r="M15">
        <f>IF(Valuing_Option!$C$28,F15,0)</f>
        <v>-1.9342966418264718E-2</v>
      </c>
      <c r="N15">
        <f>IF(Valuing_Option!$C$28,$I15,Valuing_Option!$L$18)</f>
        <v>70</v>
      </c>
      <c r="O15">
        <f>IF(Valuing_Option!$C$29,G15,0)</f>
        <v>1.3124064693083346</v>
      </c>
      <c r="P15">
        <f>IF(Valuing_Option!$C$29,$I15,Valuing_Option!$L$18)</f>
        <v>70</v>
      </c>
      <c r="Q15">
        <f>IF(Valuing_Option!$C$31,Valuing_Option_calcs!K15+Valuing_Option_calcs!M15+Valuing_Option_calcs!O15,0)</f>
        <v>0</v>
      </c>
      <c r="R15">
        <f>IF(Valuing_Option!$C$31,Valuing_Option_calcs!I15,Valuing_Option!$L$18)</f>
        <v>100</v>
      </c>
      <c r="T15" t="s">
        <v>653</v>
      </c>
      <c r="V15">
        <f>H7*EXP((J7-K7)*D7)*O7</f>
        <v>2.5784366167291187E-14</v>
      </c>
    </row>
    <row r="16" spans="1:22">
      <c r="A16" s="22" t="s">
        <v>814</v>
      </c>
      <c r="B16" s="22"/>
      <c r="C16">
        <v>1</v>
      </c>
      <c r="D16" s="15">
        <f t="shared" si="1"/>
        <v>6</v>
      </c>
      <c r="E16" s="4">
        <v>2.5556621732971636E-7</v>
      </c>
      <c r="F16" s="4">
        <v>-0.159612764193243</v>
      </c>
      <c r="G16" s="4">
        <v>4.6075691306617292</v>
      </c>
      <c r="H16" s="4"/>
      <c r="I16" s="4">
        <f>($C$15+($C$14-$C$15)*(D16-1)/($C$13-1))*Valuing_Option!$L$18</f>
        <v>72.5</v>
      </c>
      <c r="J16" s="4">
        <f t="shared" si="0"/>
        <v>4.4479566220347033</v>
      </c>
      <c r="K16">
        <f>IF(Valuing_Option!$C$27,E16,0)</f>
        <v>2.5556621732971636E-7</v>
      </c>
      <c r="L16">
        <f>IF(Valuing_Option!$C$27,$I16,Valuing_Option!$L$18)</f>
        <v>72.5</v>
      </c>
      <c r="M16">
        <f>IF(Valuing_Option!$C$28,F16,0)</f>
        <v>-0.159612764193243</v>
      </c>
      <c r="N16">
        <f>IF(Valuing_Option!$C$28,$I16,Valuing_Option!$L$18)</f>
        <v>72.5</v>
      </c>
      <c r="O16">
        <f>IF(Valuing_Option!$C$29,G16,0)</f>
        <v>4.6075691306617292</v>
      </c>
      <c r="P16">
        <f>IF(Valuing_Option!$C$29,$I16,Valuing_Option!$L$18)</f>
        <v>72.5</v>
      </c>
      <c r="Q16">
        <f>IF(Valuing_Option!$C$31,Valuing_Option_calcs!K16+Valuing_Option_calcs!M16+Valuing_Option_calcs!O16,0)</f>
        <v>0</v>
      </c>
      <c r="R16">
        <f>IF(Valuing_Option!$C$31,Valuing_Option_calcs!I16,Valuing_Option!$L$18)</f>
        <v>100</v>
      </c>
      <c r="T16" t="s">
        <v>654</v>
      </c>
      <c r="V16">
        <f>H7*EXP((J7-K7)*D7)*P7</f>
        <v>59.910067466262625</v>
      </c>
    </row>
    <row r="17" spans="1:20">
      <c r="A17" s="22" t="s">
        <v>815</v>
      </c>
      <c r="B17" s="22"/>
      <c r="C17">
        <v>1</v>
      </c>
      <c r="D17" s="15">
        <f t="shared" si="1"/>
        <v>7</v>
      </c>
      <c r="E17" s="4">
        <v>4.067302743194568E-6</v>
      </c>
      <c r="F17" s="4">
        <v>-0.77510947780109873</v>
      </c>
      <c r="G17" s="4">
        <v>12.085014077457204</v>
      </c>
      <c r="H17" s="4"/>
      <c r="I17" s="4">
        <f>($C$15+($C$14-$C$15)*(D17-1)/($C$13-1))*Valuing_Option!$L$18</f>
        <v>75</v>
      </c>
      <c r="J17" s="4">
        <f t="shared" si="0"/>
        <v>11.309908666958849</v>
      </c>
      <c r="K17">
        <f>IF(Valuing_Option!$C$27,E17,0)</f>
        <v>4.067302743194568E-6</v>
      </c>
      <c r="L17">
        <f>IF(Valuing_Option!$C$27,$I17,Valuing_Option!$L$18)</f>
        <v>75</v>
      </c>
      <c r="M17">
        <f>IF(Valuing_Option!$C$28,F17,0)</f>
        <v>-0.77510947780109873</v>
      </c>
      <c r="N17">
        <f>IF(Valuing_Option!$C$28,$I17,Valuing_Option!$L$18)</f>
        <v>75</v>
      </c>
      <c r="O17">
        <f>IF(Valuing_Option!$C$29,G17,0)</f>
        <v>12.085014077457204</v>
      </c>
      <c r="P17">
        <f>IF(Valuing_Option!$C$29,$I17,Valuing_Option!$L$18)</f>
        <v>75</v>
      </c>
      <c r="Q17">
        <f>IF(Valuing_Option!$C$31,Valuing_Option_calcs!K17+Valuing_Option_calcs!M17+Valuing_Option_calcs!O17,0)</f>
        <v>0</v>
      </c>
      <c r="R17">
        <f>IF(Valuing_Option!$C$31,Valuing_Option_calcs!I17,Valuing_Option!$L$18)</f>
        <v>100</v>
      </c>
    </row>
    <row r="18" spans="1:20">
      <c r="D18" s="15">
        <f t="shared" si="1"/>
        <v>8</v>
      </c>
      <c r="E18" s="4">
        <v>4.5853891012417273E-5</v>
      </c>
      <c r="F18" s="4">
        <v>-2.4389045302377781</v>
      </c>
      <c r="G18" s="4">
        <v>24.689002349691698</v>
      </c>
      <c r="H18" s="4"/>
      <c r="I18" s="4">
        <f>($C$15+($C$14-$C$15)*(D18-1)/($C$13-1))*Valuing_Option!$L$18</f>
        <v>77.499999999999986</v>
      </c>
      <c r="J18" s="4">
        <f t="shared" si="0"/>
        <v>22.250143673344933</v>
      </c>
      <c r="K18">
        <f>IF(Valuing_Option!$C$27,E18,0)</f>
        <v>4.5853891012417273E-5</v>
      </c>
      <c r="L18">
        <f>IF(Valuing_Option!$C$27,$I18,Valuing_Option!$L$18)</f>
        <v>77.499999999999986</v>
      </c>
      <c r="M18">
        <f>IF(Valuing_Option!$C$28,F18,0)</f>
        <v>-2.4389045302377781</v>
      </c>
      <c r="N18">
        <f>IF(Valuing_Option!$C$28,$I18,Valuing_Option!$L$18)</f>
        <v>77.499999999999986</v>
      </c>
      <c r="O18">
        <f>IF(Valuing_Option!$C$29,G18,0)</f>
        <v>24.689002349691698</v>
      </c>
      <c r="P18">
        <f>IF(Valuing_Option!$C$29,$I18,Valuing_Option!$L$18)</f>
        <v>77.499999999999986</v>
      </c>
      <c r="Q18">
        <f>IF(Valuing_Option!$C$31,Valuing_Option_calcs!K18+Valuing_Option_calcs!M18+Valuing_Option_calcs!O18,0)</f>
        <v>0</v>
      </c>
      <c r="R18">
        <f>IF(Valuing_Option!$C$31,Valuing_Option_calcs!I18,Valuing_Option!$L$18)</f>
        <v>100</v>
      </c>
      <c r="T18" s="21" t="s">
        <v>778</v>
      </c>
    </row>
    <row r="19" spans="1:20">
      <c r="D19" s="15">
        <f t="shared" si="1"/>
        <v>9</v>
      </c>
      <c r="E19" s="4">
        <v>3.7858492695857365E-4</v>
      </c>
      <c r="F19" s="4">
        <v>-5.4771161522673282</v>
      </c>
      <c r="G19" s="4">
        <v>40.947617310125246</v>
      </c>
      <c r="H19" s="4"/>
      <c r="I19" s="4">
        <f>($C$15+($C$14-$C$15)*(D19-1)/($C$13-1))*Valuing_Option!$L$18</f>
        <v>80</v>
      </c>
      <c r="J19" s="4">
        <f t="shared" si="0"/>
        <v>35.470879742784874</v>
      </c>
      <c r="K19">
        <f>IF(Valuing_Option!$C$27,E19,0)</f>
        <v>3.7858492695857365E-4</v>
      </c>
      <c r="L19">
        <f>IF(Valuing_Option!$C$27,$I19,Valuing_Option!$L$18)</f>
        <v>80</v>
      </c>
      <c r="M19">
        <f>IF(Valuing_Option!$C$28,F19,0)</f>
        <v>-5.4771161522673282</v>
      </c>
      <c r="N19">
        <f>IF(Valuing_Option!$C$28,$I19,Valuing_Option!$L$18)</f>
        <v>80</v>
      </c>
      <c r="O19">
        <f>IF(Valuing_Option!$C$29,G19,0)</f>
        <v>40.947617310125246</v>
      </c>
      <c r="P19">
        <f>IF(Valuing_Option!$C$29,$I19,Valuing_Option!$L$18)</f>
        <v>80</v>
      </c>
      <c r="Q19">
        <f>IF(Valuing_Option!$C$31,Valuing_Option_calcs!K19+Valuing_Option_calcs!M19+Valuing_Option_calcs!O19,0)</f>
        <v>0</v>
      </c>
      <c r="R19">
        <f>IF(Valuing_Option!$C$31,Valuing_Option_calcs!I19,Valuing_Option!$L$18)</f>
        <v>100</v>
      </c>
      <c r="T19">
        <f>IF(D7&lt;=0,0,CHOOSE(G7,V10,V11,V12,V13,V14,V15,V16))*E7</f>
        <v>3.29285303073998E-16</v>
      </c>
    </row>
    <row r="20" spans="1:20">
      <c r="D20" s="15">
        <f t="shared" si="1"/>
        <v>10</v>
      </c>
      <c r="E20" s="4">
        <v>2.3594055765069899E-3</v>
      </c>
      <c r="F20" s="4">
        <v>-9.6314901120453555</v>
      </c>
      <c r="G20" s="4">
        <v>57.484565516913264</v>
      </c>
      <c r="H20" s="4"/>
      <c r="I20" s="4">
        <f>($C$15+($C$14-$C$15)*(D20-1)/($C$13-1))*Valuing_Option!$L$18</f>
        <v>82.5</v>
      </c>
      <c r="J20" s="4">
        <f t="shared" si="0"/>
        <v>47.855434810444414</v>
      </c>
      <c r="K20">
        <f>IF(Valuing_Option!$C$27,E20,0)</f>
        <v>2.3594055765069899E-3</v>
      </c>
      <c r="L20">
        <f>IF(Valuing_Option!$C$27,$I20,Valuing_Option!$L$18)</f>
        <v>82.5</v>
      </c>
      <c r="M20">
        <f>IF(Valuing_Option!$C$28,F20,0)</f>
        <v>-9.6314901120453555</v>
      </c>
      <c r="N20">
        <f>IF(Valuing_Option!$C$28,$I20,Valuing_Option!$L$18)</f>
        <v>82.5</v>
      </c>
      <c r="O20">
        <f>IF(Valuing_Option!$C$29,G20,0)</f>
        <v>57.484565516913264</v>
      </c>
      <c r="P20">
        <f>IF(Valuing_Option!$C$29,$I20,Valuing_Option!$L$18)</f>
        <v>82.5</v>
      </c>
      <c r="Q20">
        <f>IF(Valuing_Option!$C$31,Valuing_Option_calcs!K20+Valuing_Option_calcs!M20+Valuing_Option_calcs!O20,0)</f>
        <v>0</v>
      </c>
      <c r="R20">
        <f>IF(Valuing_Option!$C$31,Valuing_Option_calcs!I20,Valuing_Option!$L$18)</f>
        <v>100</v>
      </c>
    </row>
    <row r="21" spans="1:20">
      <c r="D21" s="15">
        <f t="shared" si="1"/>
        <v>11</v>
      </c>
      <c r="E21" s="4">
        <v>1.1411444330052589E-2</v>
      </c>
      <c r="F21" s="4">
        <v>-14.368448218827268</v>
      </c>
      <c r="G21" s="4">
        <v>71.204497846150389</v>
      </c>
      <c r="H21" s="4"/>
      <c r="I21" s="4">
        <f>($C$15+($C$14-$C$15)*(D21-1)/($C$13-1))*Valuing_Option!$L$18</f>
        <v>85</v>
      </c>
      <c r="J21" s="4">
        <f t="shared" si="0"/>
        <v>56.847461071653171</v>
      </c>
      <c r="K21">
        <f>IF(Valuing_Option!$C$27,E21,0)</f>
        <v>1.1411444330052589E-2</v>
      </c>
      <c r="L21">
        <f>IF(Valuing_Option!$C$27,$I21,Valuing_Option!$L$18)</f>
        <v>85</v>
      </c>
      <c r="M21">
        <f>IF(Valuing_Option!$C$28,F21,0)</f>
        <v>-14.368448218827268</v>
      </c>
      <c r="N21">
        <f>IF(Valuing_Option!$C$28,$I21,Valuing_Option!$L$18)</f>
        <v>85</v>
      </c>
      <c r="O21">
        <f>IF(Valuing_Option!$C$29,G21,0)</f>
        <v>71.204497846150389</v>
      </c>
      <c r="P21">
        <f>IF(Valuing_Option!$C$29,$I21,Valuing_Option!$L$18)</f>
        <v>85</v>
      </c>
      <c r="Q21">
        <f>IF(Valuing_Option!$C$31,Valuing_Option_calcs!K21+Valuing_Option_calcs!M21+Valuing_Option_calcs!O21,0)</f>
        <v>0</v>
      </c>
      <c r="R21">
        <f>IF(Valuing_Option!$C$31,Valuing_Option_calcs!I21,Valuing_Option!$L$18)</f>
        <v>100</v>
      </c>
    </row>
    <row r="22" spans="1:20">
      <c r="D22" s="15">
        <f t="shared" si="1"/>
        <v>12</v>
      </c>
      <c r="E22" s="4">
        <v>4.394760489777072E-2</v>
      </c>
      <c r="F22" s="4">
        <v>-19.307513130776414</v>
      </c>
      <c r="G22" s="4">
        <v>80.926577121707837</v>
      </c>
      <c r="H22" s="4"/>
      <c r="I22" s="4">
        <f>($C$15+($C$14-$C$15)*(D22-1)/($C$13-1))*Valuing_Option!$L$18</f>
        <v>87.5</v>
      </c>
      <c r="J22" s="4">
        <f t="shared" si="0"/>
        <v>61.66301159582919</v>
      </c>
      <c r="K22">
        <f>IF(Valuing_Option!$C$27,E22,0)</f>
        <v>4.394760489777072E-2</v>
      </c>
      <c r="L22">
        <f>IF(Valuing_Option!$C$27,$I22,Valuing_Option!$L$18)</f>
        <v>87.5</v>
      </c>
      <c r="M22">
        <f>IF(Valuing_Option!$C$28,F22,0)</f>
        <v>-19.307513130776414</v>
      </c>
      <c r="N22">
        <f>IF(Valuing_Option!$C$28,$I22,Valuing_Option!$L$18)</f>
        <v>87.5</v>
      </c>
      <c r="O22">
        <f>IF(Valuing_Option!$C$29,G22,0)</f>
        <v>80.926577121707837</v>
      </c>
      <c r="P22">
        <f>IF(Valuing_Option!$C$29,$I22,Valuing_Option!$L$18)</f>
        <v>87.5</v>
      </c>
      <c r="Q22">
        <f>IF(Valuing_Option!$C$31,Valuing_Option_calcs!K22+Valuing_Option_calcs!M22+Valuing_Option_calcs!O22,0)</f>
        <v>0</v>
      </c>
      <c r="R22">
        <f>IF(Valuing_Option!$C$31,Valuing_Option_calcs!I22,Valuing_Option!$L$18)</f>
        <v>100</v>
      </c>
    </row>
    <row r="23" spans="1:20">
      <c r="D23" s="15">
        <f t="shared" si="1"/>
        <v>13</v>
      </c>
      <c r="E23" s="4">
        <v>0.1380475490351154</v>
      </c>
      <c r="F23" s="4">
        <v>-24.294634695226108</v>
      </c>
      <c r="G23" s="4">
        <v>87.24852180221896</v>
      </c>
      <c r="H23" s="4"/>
      <c r="I23" s="4">
        <f>($C$15+($C$14-$C$15)*(D23-1)/($C$13-1))*Valuing_Option!$L$18</f>
        <v>89.999999999999986</v>
      </c>
      <c r="J23" s="4">
        <f t="shared" si="0"/>
        <v>63.091934656027966</v>
      </c>
      <c r="K23">
        <f>IF(Valuing_Option!$C$27,E23,0)</f>
        <v>0.1380475490351154</v>
      </c>
      <c r="L23">
        <f>IF(Valuing_Option!$C$27,$I23,Valuing_Option!$L$18)</f>
        <v>89.999999999999986</v>
      </c>
      <c r="M23">
        <f>IF(Valuing_Option!$C$28,F23,0)</f>
        <v>-24.294634695226108</v>
      </c>
      <c r="N23">
        <f>IF(Valuing_Option!$C$28,$I23,Valuing_Option!$L$18)</f>
        <v>89.999999999999986</v>
      </c>
      <c r="O23">
        <f>IF(Valuing_Option!$C$29,G23,0)</f>
        <v>87.24852180221896</v>
      </c>
      <c r="P23">
        <f>IF(Valuing_Option!$C$29,$I23,Valuing_Option!$L$18)</f>
        <v>89.999999999999986</v>
      </c>
      <c r="Q23">
        <f>IF(Valuing_Option!$C$31,Valuing_Option_calcs!K23+Valuing_Option_calcs!M23+Valuing_Option_calcs!O23,0)</f>
        <v>0</v>
      </c>
      <c r="R23">
        <f>IF(Valuing_Option!$C$31,Valuing_Option_calcs!I23,Valuing_Option!$L$18)</f>
        <v>100</v>
      </c>
    </row>
    <row r="24" spans="1:20">
      <c r="D24" s="15">
        <f t="shared" si="1"/>
        <v>14</v>
      </c>
      <c r="E24" s="4">
        <v>0.36182045563396592</v>
      </c>
      <c r="F24" s="4">
        <v>-29.289813756408847</v>
      </c>
      <c r="G24" s="4">
        <v>91.439717854093885</v>
      </c>
      <c r="H24" s="4"/>
      <c r="I24" s="4">
        <f>($C$15+($C$14-$C$15)*(D24-1)/($C$13-1))*Valuing_Option!$L$18</f>
        <v>92.5</v>
      </c>
      <c r="J24" s="4">
        <f t="shared" si="0"/>
        <v>62.511724553319006</v>
      </c>
      <c r="K24">
        <f>IF(Valuing_Option!$C$27,E24,0)</f>
        <v>0.36182045563396592</v>
      </c>
      <c r="L24">
        <f>IF(Valuing_Option!$C$27,$I24,Valuing_Option!$L$18)</f>
        <v>92.5</v>
      </c>
      <c r="M24">
        <f>IF(Valuing_Option!$C$28,F24,0)</f>
        <v>-29.289813756408847</v>
      </c>
      <c r="N24">
        <f>IF(Valuing_Option!$C$28,$I24,Valuing_Option!$L$18)</f>
        <v>92.5</v>
      </c>
      <c r="O24">
        <f>IF(Valuing_Option!$C$29,G24,0)</f>
        <v>91.439717854093885</v>
      </c>
      <c r="P24">
        <f>IF(Valuing_Option!$C$29,$I24,Valuing_Option!$L$18)</f>
        <v>92.5</v>
      </c>
      <c r="Q24">
        <f>IF(Valuing_Option!$C$31,Valuing_Option_calcs!K24+Valuing_Option_calcs!M24+Valuing_Option_calcs!O24,0)</f>
        <v>0</v>
      </c>
      <c r="R24">
        <f>IF(Valuing_Option!$C$31,Valuing_Option_calcs!I24,Valuing_Option!$L$18)</f>
        <v>100</v>
      </c>
    </row>
    <row r="25" spans="1:20">
      <c r="D25" s="15">
        <f t="shared" si="1"/>
        <v>15</v>
      </c>
      <c r="E25" s="4">
        <v>0.80861413769199686</v>
      </c>
      <c r="F25" s="4">
        <v>-34.285970779365385</v>
      </c>
      <c r="G25" s="4">
        <v>94.573928835779782</v>
      </c>
      <c r="H25" s="4"/>
      <c r="I25" s="4">
        <f>($C$15+($C$14-$C$15)*(D25-1)/($C$13-1))*Valuing_Option!$L$18</f>
        <v>95</v>
      </c>
      <c r="J25" s="4">
        <f t="shared" si="0"/>
        <v>61.096572194106393</v>
      </c>
      <c r="K25">
        <f>IF(Valuing_Option!$C$27,E25,0)</f>
        <v>0.80861413769199686</v>
      </c>
      <c r="L25">
        <f>IF(Valuing_Option!$C$27,$I25,Valuing_Option!$L$18)</f>
        <v>95</v>
      </c>
      <c r="M25">
        <f>IF(Valuing_Option!$C$28,F25,0)</f>
        <v>-34.285970779365385</v>
      </c>
      <c r="N25">
        <f>IF(Valuing_Option!$C$28,$I25,Valuing_Option!$L$18)</f>
        <v>95</v>
      </c>
      <c r="O25">
        <f>IF(Valuing_Option!$C$29,G25,0)</f>
        <v>94.573928835779782</v>
      </c>
      <c r="P25">
        <f>IF(Valuing_Option!$C$29,$I25,Valuing_Option!$L$18)</f>
        <v>95</v>
      </c>
      <c r="Q25">
        <f>IF(Valuing_Option!$C$31,Valuing_Option_calcs!K25+Valuing_Option_calcs!M25+Valuing_Option_calcs!O25,0)</f>
        <v>0</v>
      </c>
      <c r="R25">
        <f>IF(Valuing_Option!$C$31,Valuing_Option_calcs!I25,Valuing_Option!$L$18)</f>
        <v>100</v>
      </c>
    </row>
    <row r="26" spans="1:20">
      <c r="D26" s="15">
        <f t="shared" si="1"/>
        <v>16</v>
      </c>
      <c r="E26" s="4">
        <v>1.573234538551965</v>
      </c>
      <c r="F26" s="4">
        <v>-39.282215841341412</v>
      </c>
      <c r="G26" s="4">
        <v>97.276936482649887</v>
      </c>
      <c r="H26" s="4"/>
      <c r="I26" s="4">
        <f>($C$15+($C$14-$C$15)*(D26-1)/($C$13-1))*Valuing_Option!$L$18</f>
        <v>97.499999999999986</v>
      </c>
      <c r="J26" s="4">
        <f t="shared" si="0"/>
        <v>59.567955179860441</v>
      </c>
      <c r="K26">
        <f>IF(Valuing_Option!$C$27,E26,0)</f>
        <v>1.573234538551965</v>
      </c>
      <c r="L26">
        <f>IF(Valuing_Option!$C$27,$I26,Valuing_Option!$L$18)</f>
        <v>97.499999999999986</v>
      </c>
      <c r="M26">
        <f>IF(Valuing_Option!$C$28,F26,0)</f>
        <v>-39.282215841341412</v>
      </c>
      <c r="N26">
        <f>IF(Valuing_Option!$C$28,$I26,Valuing_Option!$L$18)</f>
        <v>97.499999999999986</v>
      </c>
      <c r="O26">
        <f>IF(Valuing_Option!$C$29,G26,0)</f>
        <v>97.276936482649887</v>
      </c>
      <c r="P26">
        <f>IF(Valuing_Option!$C$29,$I26,Valuing_Option!$L$18)</f>
        <v>97.499999999999986</v>
      </c>
      <c r="Q26">
        <f>IF(Valuing_Option!$C$31,Valuing_Option_calcs!K26+Valuing_Option_calcs!M26+Valuing_Option_calcs!O26,0)</f>
        <v>0</v>
      </c>
      <c r="R26">
        <f>IF(Valuing_Option!$C$31,Valuing_Option_calcs!I26,Valuing_Option!$L$18)</f>
        <v>100</v>
      </c>
    </row>
    <row r="27" spans="1:20">
      <c r="D27" s="15">
        <f t="shared" si="1"/>
        <v>17</v>
      </c>
      <c r="E27" s="4">
        <v>2.7182288358928233</v>
      </c>
      <c r="F27" s="4">
        <v>-44.27846691549766</v>
      </c>
      <c r="G27" s="4">
        <v>99.831585656905446</v>
      </c>
      <c r="H27" s="4"/>
      <c r="I27" s="4">
        <f>($C$15+($C$14-$C$15)*(D27-1)/($C$13-1))*Valuing_Option!$L$18</f>
        <v>100</v>
      </c>
      <c r="J27" s="4">
        <f t="shared" si="0"/>
        <v>58.27134757730061</v>
      </c>
      <c r="K27">
        <f>IF(Valuing_Option!$C$27,E27,0)</f>
        <v>2.7182288358928233</v>
      </c>
      <c r="L27">
        <f>IF(Valuing_Option!$C$27,$I27,Valuing_Option!$L$18)</f>
        <v>100</v>
      </c>
      <c r="M27">
        <f>IF(Valuing_Option!$C$28,F27,0)</f>
        <v>-44.27846691549766</v>
      </c>
      <c r="N27">
        <f>IF(Valuing_Option!$C$28,$I27,Valuing_Option!$L$18)</f>
        <v>100</v>
      </c>
      <c r="O27">
        <f>IF(Valuing_Option!$C$29,G27,0)</f>
        <v>99.831585656905446</v>
      </c>
      <c r="P27">
        <f>IF(Valuing_Option!$C$29,$I27,Valuing_Option!$L$18)</f>
        <v>100</v>
      </c>
      <c r="Q27">
        <f>IF(Valuing_Option!$C$31,Valuing_Option_calcs!K27+Valuing_Option_calcs!M27+Valuing_Option_calcs!O27,0)</f>
        <v>0</v>
      </c>
      <c r="R27">
        <f>IF(Valuing_Option!$C$31,Valuing_Option_calcs!I27,Valuing_Option!$L$18)</f>
        <v>100</v>
      </c>
    </row>
    <row r="28" spans="1:20">
      <c r="D28" s="15">
        <f t="shared" si="1"/>
        <v>18</v>
      </c>
      <c r="E28" s="4">
        <v>4.2502492997936798</v>
      </c>
      <c r="F28" s="4">
        <v>-49.27471830765694</v>
      </c>
      <c r="G28" s="4">
        <v>102.34237029484848</v>
      </c>
      <c r="H28" s="4"/>
      <c r="I28" s="4">
        <f>($C$15+($C$14-$C$15)*(D28-1)/($C$13-1))*Valuing_Option!$L$18</f>
        <v>102.49999999999999</v>
      </c>
      <c r="J28" s="4">
        <f t="shared" si="0"/>
        <v>57.317901286985219</v>
      </c>
      <c r="K28">
        <f>IF(Valuing_Option!$C$27,E28,0)</f>
        <v>4.2502492997936798</v>
      </c>
      <c r="L28">
        <f>IF(Valuing_Option!$C$27,$I28,Valuing_Option!$L$18)</f>
        <v>102.49999999999999</v>
      </c>
      <c r="M28">
        <f>IF(Valuing_Option!$C$28,F28,0)</f>
        <v>-49.27471830765694</v>
      </c>
      <c r="N28">
        <f>IF(Valuing_Option!$C$28,$I28,Valuing_Option!$L$18)</f>
        <v>102.49999999999999</v>
      </c>
      <c r="O28">
        <f>IF(Valuing_Option!$C$29,G28,0)</f>
        <v>102.34237029484848</v>
      </c>
      <c r="P28">
        <f>IF(Valuing_Option!$C$29,$I28,Valuing_Option!$L$18)</f>
        <v>102.49999999999999</v>
      </c>
      <c r="Q28">
        <f>IF(Valuing_Option!$C$31,Valuing_Option_calcs!K28+Valuing_Option_calcs!M28+Valuing_Option_calcs!O28,0)</f>
        <v>0</v>
      </c>
      <c r="R28">
        <f>IF(Valuing_Option!$C$31,Valuing_Option_calcs!I28,Valuing_Option!$L$18)</f>
        <v>100</v>
      </c>
    </row>
    <row r="29" spans="1:20">
      <c r="D29" s="15">
        <f t="shared" si="1"/>
        <v>19</v>
      </c>
      <c r="E29" s="4">
        <v>6.1208585805268569</v>
      </c>
      <c r="F29" s="4">
        <v>-54.270969713097116</v>
      </c>
      <c r="G29" s="4">
        <v>104.84184091912945</v>
      </c>
      <c r="H29" s="4"/>
      <c r="I29" s="4">
        <f>($C$15+($C$14-$C$15)*(D29-1)/($C$13-1))*Valuing_Option!$L$18</f>
        <v>104.99999999999999</v>
      </c>
      <c r="J29" s="4">
        <f t="shared" si="0"/>
        <v>56.691729786559193</v>
      </c>
      <c r="K29">
        <f>IF(Valuing_Option!$C$27,E29,0)</f>
        <v>6.1208585805268569</v>
      </c>
      <c r="L29">
        <f>IF(Valuing_Option!$C$27,$I29,Valuing_Option!$L$18)</f>
        <v>104.99999999999999</v>
      </c>
      <c r="M29">
        <f>IF(Valuing_Option!$C$28,F29,0)</f>
        <v>-54.270969713097116</v>
      </c>
      <c r="N29">
        <f>IF(Valuing_Option!$C$28,$I29,Valuing_Option!$L$18)</f>
        <v>104.99999999999999</v>
      </c>
      <c r="O29">
        <f>IF(Valuing_Option!$C$29,G29,0)</f>
        <v>104.84184091912945</v>
      </c>
      <c r="P29">
        <f>IF(Valuing_Option!$C$29,$I29,Valuing_Option!$L$18)</f>
        <v>104.99999999999999</v>
      </c>
      <c r="Q29">
        <f>IF(Valuing_Option!$C$31,Valuing_Option_calcs!K29+Valuing_Option_calcs!M29+Valuing_Option_calcs!O29,0)</f>
        <v>0</v>
      </c>
      <c r="R29">
        <f>IF(Valuing_Option!$C$31,Valuing_Option_calcs!I29,Valuing_Option!$L$18)</f>
        <v>100</v>
      </c>
    </row>
    <row r="30" spans="1:20">
      <c r="D30" s="15">
        <f t="shared" si="1"/>
        <v>20</v>
      </c>
      <c r="E30" s="4">
        <v>8.2488061791001286</v>
      </c>
      <c r="F30" s="4">
        <v>-59.267221118983144</v>
      </c>
      <c r="G30" s="4">
        <v>107.33873350367541</v>
      </c>
      <c r="H30" s="4"/>
      <c r="I30" s="4">
        <f>($C$15+($C$14-$C$15)*(D30-1)/($C$13-1))*Valuing_Option!$L$18</f>
        <v>107.5</v>
      </c>
      <c r="J30" s="4">
        <f t="shared" si="0"/>
        <v>56.320318563792398</v>
      </c>
      <c r="K30">
        <f>IF(Valuing_Option!$C$27,E30,0)</f>
        <v>8.2488061791001286</v>
      </c>
      <c r="L30">
        <f>IF(Valuing_Option!$C$27,$I30,Valuing_Option!$L$18)</f>
        <v>107.5</v>
      </c>
      <c r="M30">
        <f>IF(Valuing_Option!$C$28,F30,0)</f>
        <v>-59.267221118983144</v>
      </c>
      <c r="N30">
        <f>IF(Valuing_Option!$C$28,$I30,Valuing_Option!$L$18)</f>
        <v>107.5</v>
      </c>
      <c r="O30">
        <f>IF(Valuing_Option!$C$29,G30,0)</f>
        <v>107.33873350367541</v>
      </c>
      <c r="P30">
        <f>IF(Valuing_Option!$C$29,$I30,Valuing_Option!$L$18)</f>
        <v>107.5</v>
      </c>
      <c r="Q30">
        <f>IF(Valuing_Option!$C$31,Valuing_Option_calcs!K30+Valuing_Option_calcs!M30+Valuing_Option_calcs!O30,0)</f>
        <v>0</v>
      </c>
      <c r="R30">
        <f>IF(Valuing_Option!$C$31,Valuing_Option_calcs!I30,Valuing_Option!$L$18)</f>
        <v>100</v>
      </c>
    </row>
    <row r="31" spans="1:20">
      <c r="D31" s="15">
        <f t="shared" si="1"/>
        <v>21</v>
      </c>
      <c r="E31" s="4">
        <v>10.548297592762793</v>
      </c>
      <c r="F31" s="4">
        <v>-64.263472524881365</v>
      </c>
      <c r="G31" s="4">
        <v>109.83510147290086</v>
      </c>
      <c r="H31" s="4"/>
      <c r="I31" s="4">
        <f>($C$15+($C$14-$C$15)*(D31-1)/($C$13-1))*Valuing_Option!$L$18</f>
        <v>109.99999999999999</v>
      </c>
      <c r="J31" s="4">
        <f t="shared" si="0"/>
        <v>56.119926540782288</v>
      </c>
      <c r="K31">
        <f>IF(Valuing_Option!$C$27,E31,0)</f>
        <v>10.548297592762793</v>
      </c>
      <c r="L31">
        <f>IF(Valuing_Option!$C$27,$I31,Valuing_Option!$L$18)</f>
        <v>109.99999999999999</v>
      </c>
      <c r="M31">
        <f>IF(Valuing_Option!$C$28,F31,0)</f>
        <v>-64.263472524881365</v>
      </c>
      <c r="N31">
        <f>IF(Valuing_Option!$C$28,$I31,Valuing_Option!$L$18)</f>
        <v>109.99999999999999</v>
      </c>
      <c r="O31">
        <f>IF(Valuing_Option!$C$29,G31,0)</f>
        <v>109.83510147290086</v>
      </c>
      <c r="P31">
        <f>IF(Valuing_Option!$C$29,$I31,Valuing_Option!$L$18)</f>
        <v>109.99999999999999</v>
      </c>
      <c r="Q31">
        <f>IF(Valuing_Option!$C$31,Valuing_Option_calcs!K31+Valuing_Option_calcs!M31+Valuing_Option_calcs!O31,0)</f>
        <v>0</v>
      </c>
      <c r="R31">
        <f>IF(Valuing_Option!$C$31,Valuing_Option_calcs!I31,Valuing_Option!$L$18)</f>
        <v>100</v>
      </c>
    </row>
    <row r="32" spans="1:20">
      <c r="D32" s="15">
        <f t="shared" si="1"/>
        <v>22</v>
      </c>
      <c r="E32" s="4">
        <v>12.948970230603479</v>
      </c>
      <c r="F32" s="4">
        <v>-69.25972393077987</v>
      </c>
      <c r="G32" s="4">
        <v>112.33137319176066</v>
      </c>
      <c r="H32" s="4"/>
      <c r="I32" s="4">
        <f>($C$15+($C$14-$C$15)*(D32-1)/($C$13-1))*Valuing_Option!$L$18</f>
        <v>112.5</v>
      </c>
      <c r="J32" s="4">
        <f t="shared" si="0"/>
        <v>56.02061949158427</v>
      </c>
      <c r="K32">
        <f>IF(Valuing_Option!$C$27,E32,0)</f>
        <v>12.948970230603479</v>
      </c>
      <c r="L32">
        <f>IF(Valuing_Option!$C$27,$I32,Valuing_Option!$L$18)</f>
        <v>112.5</v>
      </c>
      <c r="M32">
        <f>IF(Valuing_Option!$C$28,F32,0)</f>
        <v>-69.25972393077987</v>
      </c>
      <c r="N32">
        <f>IF(Valuing_Option!$C$28,$I32,Valuing_Option!$L$18)</f>
        <v>112.5</v>
      </c>
      <c r="O32">
        <f>IF(Valuing_Option!$C$29,G32,0)</f>
        <v>112.33137319176066</v>
      </c>
      <c r="P32">
        <f>IF(Valuing_Option!$C$29,$I32,Valuing_Option!$L$18)</f>
        <v>112.5</v>
      </c>
      <c r="Q32">
        <f>IF(Valuing_Option!$C$31,Valuing_Option_calcs!K32+Valuing_Option_calcs!M32+Valuing_Option_calcs!O32,0)</f>
        <v>0</v>
      </c>
      <c r="R32">
        <f>IF(Valuing_Option!$C$31,Valuing_Option_calcs!I32,Valuing_Option!$L$18)</f>
        <v>100</v>
      </c>
    </row>
    <row r="33" spans="2:18">
      <c r="D33" s="15">
        <f t="shared" si="1"/>
        <v>23</v>
      </c>
      <c r="E33" s="4">
        <v>15.402878318813904</v>
      </c>
      <c r="F33" s="4">
        <v>-74.255975336678347</v>
      </c>
      <c r="G33" s="4">
        <v>114.82762885429608</v>
      </c>
      <c r="H33" s="4"/>
      <c r="I33" s="4">
        <f>($C$15+($C$14-$C$15)*(D33-1)/($C$13-1))*Valuing_Option!$L$18</f>
        <v>114.99999999999999</v>
      </c>
      <c r="J33" s="4">
        <f t="shared" si="0"/>
        <v>55.974531836431638</v>
      </c>
      <c r="K33">
        <f>IF(Valuing_Option!$C$27,E33,0)</f>
        <v>15.402878318813904</v>
      </c>
      <c r="L33">
        <f>IF(Valuing_Option!$C$27,$I33,Valuing_Option!$L$18)</f>
        <v>114.99999999999999</v>
      </c>
      <c r="M33">
        <f>IF(Valuing_Option!$C$28,F33,0)</f>
        <v>-74.255975336678347</v>
      </c>
      <c r="N33">
        <f>IF(Valuing_Option!$C$28,$I33,Valuing_Option!$L$18)</f>
        <v>114.99999999999999</v>
      </c>
      <c r="O33">
        <f>IF(Valuing_Option!$C$29,G33,0)</f>
        <v>114.82762885429608</v>
      </c>
      <c r="P33">
        <f>IF(Valuing_Option!$C$29,$I33,Valuing_Option!$L$18)</f>
        <v>114.99999999999999</v>
      </c>
      <c r="Q33">
        <f>IF(Valuing_Option!$C$31,Valuing_Option_calcs!K33+Valuing_Option_calcs!M33+Valuing_Option_calcs!O33,0)</f>
        <v>0</v>
      </c>
      <c r="R33">
        <f>IF(Valuing_Option!$C$31,Valuing_Option_calcs!I33,Valuing_Option!$L$18)</f>
        <v>100</v>
      </c>
    </row>
    <row r="34" spans="2:18">
      <c r="D34" s="15">
        <f t="shared" si="1"/>
        <v>24</v>
      </c>
      <c r="E34" s="4">
        <v>17.881959294974038</v>
      </c>
      <c r="F34" s="4">
        <v>-79.252226742576852</v>
      </c>
      <c r="G34" s="4">
        <v>117.32388206287747</v>
      </c>
      <c r="H34" s="4"/>
      <c r="I34" s="4">
        <f>($C$15+($C$14-$C$15)*(D34-1)/($C$13-1))*Valuing_Option!$L$18</f>
        <v>117.49999999999999</v>
      </c>
      <c r="J34" s="4">
        <f t="shared" si="0"/>
        <v>55.95361461527466</v>
      </c>
      <c r="K34">
        <f>IF(Valuing_Option!$C$27,E34,0)</f>
        <v>17.881959294974038</v>
      </c>
      <c r="L34">
        <f>IF(Valuing_Option!$C$27,$I34,Valuing_Option!$L$18)</f>
        <v>117.49999999999999</v>
      </c>
      <c r="M34">
        <f>IF(Valuing_Option!$C$28,F34,0)</f>
        <v>-79.252226742576852</v>
      </c>
      <c r="N34">
        <f>IF(Valuing_Option!$C$28,$I34,Valuing_Option!$L$18)</f>
        <v>117.49999999999999</v>
      </c>
      <c r="O34">
        <f>IF(Valuing_Option!$C$29,G34,0)</f>
        <v>117.32388206287747</v>
      </c>
      <c r="P34">
        <f>IF(Valuing_Option!$C$29,$I34,Valuing_Option!$L$18)</f>
        <v>117.49999999999999</v>
      </c>
      <c r="Q34">
        <f>IF(Valuing_Option!$C$31,Valuing_Option_calcs!K34+Valuing_Option_calcs!M34+Valuing_Option_calcs!O34,0)</f>
        <v>0</v>
      </c>
      <c r="R34">
        <f>IF(Valuing_Option!$C$31,Valuing_Option_calcs!I34,Valuing_Option!$L$18)</f>
        <v>100</v>
      </c>
    </row>
    <row r="35" spans="2:18">
      <c r="D35" s="15">
        <f t="shared" si="1"/>
        <v>25</v>
      </c>
      <c r="E35" s="4">
        <v>20.371812563751774</v>
      </c>
      <c r="F35" s="4">
        <v>-84.248478148475385</v>
      </c>
      <c r="G35" s="4">
        <v>119.82013492548872</v>
      </c>
      <c r="H35" s="4"/>
      <c r="I35" s="4">
        <f>($C$15+($C$14-$C$15)*(D35-1)/($C$13-1))*Valuing_Option!$L$18</f>
        <v>120</v>
      </c>
      <c r="J35" s="4">
        <f t="shared" si="0"/>
        <v>55.943469340765105</v>
      </c>
      <c r="K35">
        <f>IF(Valuing_Option!$C$27,E35,0)</f>
        <v>20.371812563751774</v>
      </c>
      <c r="L35">
        <f>IF(Valuing_Option!$C$27,$I35,Valuing_Option!$L$18)</f>
        <v>120</v>
      </c>
      <c r="M35">
        <f>IF(Valuing_Option!$C$28,F35,0)</f>
        <v>-84.248478148475385</v>
      </c>
      <c r="N35">
        <f>IF(Valuing_Option!$C$28,$I35,Valuing_Option!$L$18)</f>
        <v>120</v>
      </c>
      <c r="O35">
        <f>IF(Valuing_Option!$C$29,G35,0)</f>
        <v>119.82013492548872</v>
      </c>
      <c r="P35">
        <f>IF(Valuing_Option!$C$29,$I35,Valuing_Option!$L$18)</f>
        <v>120</v>
      </c>
      <c r="Q35">
        <f>IF(Valuing_Option!$C$31,Valuing_Option_calcs!K35+Valuing_Option_calcs!M35+Valuing_Option_calcs!O35,0)</f>
        <v>0</v>
      </c>
      <c r="R35">
        <f>IF(Valuing_Option!$C$31,Valuing_Option_calcs!I35,Valuing_Option!$L$18)</f>
        <v>100</v>
      </c>
    </row>
    <row r="36" spans="2:18">
      <c r="D36" s="15">
        <f t="shared" si="1"/>
        <v>26</v>
      </c>
      <c r="E36" s="4">
        <v>22.865864547053448</v>
      </c>
      <c r="F36" s="4">
        <v>-89.244729554373919</v>
      </c>
      <c r="G36" s="4">
        <v>122.31638774282438</v>
      </c>
      <c r="H36" s="4"/>
      <c r="I36" s="4">
        <f>($C$15+($C$14-$C$15)*(D36-1)/($C$13-1))*Valuing_Option!$L$18</f>
        <v>122.50000000000001</v>
      </c>
      <c r="J36" s="4">
        <f t="shared" si="0"/>
        <v>55.937522735503904</v>
      </c>
      <c r="K36">
        <f>IF(Valuing_Option!$C$27,E36,0)</f>
        <v>22.865864547053448</v>
      </c>
      <c r="L36">
        <f>IF(Valuing_Option!$C$27,$I36,Valuing_Option!$L$18)</f>
        <v>122.50000000000001</v>
      </c>
      <c r="M36">
        <f>IF(Valuing_Option!$C$28,F36,0)</f>
        <v>-89.244729554373919</v>
      </c>
      <c r="N36">
        <f>IF(Valuing_Option!$C$28,$I36,Valuing_Option!$L$18)</f>
        <v>122.50000000000001</v>
      </c>
      <c r="O36">
        <f>IF(Valuing_Option!$C$29,G36,0)</f>
        <v>122.31638774282438</v>
      </c>
      <c r="P36">
        <f>IF(Valuing_Option!$C$29,$I36,Valuing_Option!$L$18)</f>
        <v>122.50000000000001</v>
      </c>
      <c r="Q36">
        <f>IF(Valuing_Option!$C$31,Valuing_Option_calcs!K36+Valuing_Option_calcs!M36+Valuing_Option_calcs!O36,0)</f>
        <v>0</v>
      </c>
      <c r="R36">
        <f>IF(Valuing_Option!$C$31,Valuing_Option_calcs!I36,Valuing_Option!$L$18)</f>
        <v>100</v>
      </c>
    </row>
    <row r="37" spans="2:18">
      <c r="D37" s="15">
        <f t="shared" si="1"/>
        <v>27</v>
      </c>
      <c r="E37" s="4">
        <v>25.361416025800267</v>
      </c>
      <c r="F37" s="4">
        <v>-94.240980960272367</v>
      </c>
      <c r="G37" s="4">
        <v>124.81264055462898</v>
      </c>
      <c r="H37" s="4"/>
      <c r="I37" s="4">
        <f>($C$15+($C$14-$C$15)*(D37-1)/($C$13-1))*Valuing_Option!$L$18</f>
        <v>125</v>
      </c>
      <c r="J37" s="4">
        <f t="shared" si="0"/>
        <v>55.933075620156885</v>
      </c>
      <c r="K37">
        <f>IF(Valuing_Option!$C$27,E37,0)</f>
        <v>25.361416025800267</v>
      </c>
      <c r="L37">
        <f>IF(Valuing_Option!$C$27,$I37,Valuing_Option!$L$18)</f>
        <v>125</v>
      </c>
      <c r="M37">
        <f>IF(Valuing_Option!$C$28,F37,0)</f>
        <v>-94.240980960272367</v>
      </c>
      <c r="N37">
        <f>IF(Valuing_Option!$C$28,$I37,Valuing_Option!$L$18)</f>
        <v>125</v>
      </c>
      <c r="O37">
        <f>IF(Valuing_Option!$C$29,G37,0)</f>
        <v>124.81264055462898</v>
      </c>
      <c r="P37">
        <f>IF(Valuing_Option!$C$29,$I37,Valuing_Option!$L$18)</f>
        <v>125</v>
      </c>
      <c r="Q37">
        <f>IF(Valuing_Option!$C$31,Valuing_Option_calcs!K37+Valuing_Option_calcs!M37+Valuing_Option_calcs!O37,0)</f>
        <v>0</v>
      </c>
      <c r="R37">
        <f>IF(Valuing_Option!$C$31,Valuing_Option_calcs!I37,Valuing_Option!$L$18)</f>
        <v>100</v>
      </c>
    </row>
    <row r="38" spans="2:18">
      <c r="D38" s="15">
        <f t="shared" si="1"/>
        <v>28</v>
      </c>
      <c r="E38" s="4">
        <v>27.857460901708109</v>
      </c>
      <c r="F38" s="4">
        <v>-99.237232366170844</v>
      </c>
      <c r="G38" s="4">
        <v>127.30889336579952</v>
      </c>
      <c r="H38" s="4"/>
      <c r="I38" s="4">
        <f>($C$15+($C$14-$C$15)*(D38-1)/($C$13-1))*Valuing_Option!$L$18</f>
        <v>127.49999999999999</v>
      </c>
      <c r="J38" s="4">
        <f t="shared" si="0"/>
        <v>55.929121901336785</v>
      </c>
      <c r="K38">
        <f>IF(Valuing_Option!$C$27,E38,0)</f>
        <v>27.857460901708109</v>
      </c>
      <c r="L38">
        <f>IF(Valuing_Option!$C$27,$I38,Valuing_Option!$L$18)</f>
        <v>127.49999999999999</v>
      </c>
      <c r="M38">
        <f>IF(Valuing_Option!$C$28,F38,0)</f>
        <v>-99.237232366170844</v>
      </c>
      <c r="N38">
        <f>IF(Valuing_Option!$C$28,$I38,Valuing_Option!$L$18)</f>
        <v>127.49999999999999</v>
      </c>
      <c r="O38">
        <f>IF(Valuing_Option!$C$29,G38,0)</f>
        <v>127.30889336579952</v>
      </c>
      <c r="P38">
        <f>IF(Valuing_Option!$C$29,$I38,Valuing_Option!$L$18)</f>
        <v>127.49999999999999</v>
      </c>
      <c r="Q38">
        <f>IF(Valuing_Option!$C$31,Valuing_Option_calcs!K38+Valuing_Option_calcs!M38+Valuing_Option_calcs!O38,0)</f>
        <v>0</v>
      </c>
      <c r="R38">
        <f>IF(Valuing_Option!$C$31,Valuing_Option_calcs!I38,Valuing_Option!$L$18)</f>
        <v>100</v>
      </c>
    </row>
    <row r="39" spans="2:18">
      <c r="D39" s="15">
        <f t="shared" si="1"/>
        <v>29</v>
      </c>
      <c r="E39" s="4">
        <v>30.353656127488989</v>
      </c>
      <c r="F39" s="4">
        <v>-104.23348377206935</v>
      </c>
      <c r="G39" s="4">
        <v>129.80514617690156</v>
      </c>
      <c r="H39" s="4"/>
      <c r="I39" s="4">
        <f>($C$15+($C$14-$C$15)*(D39-1)/($C$13-1))*Valuing_Option!$L$18</f>
        <v>129.99999999999997</v>
      </c>
      <c r="J39" s="4">
        <f t="shared" si="0"/>
        <v>55.925318532321199</v>
      </c>
      <c r="K39">
        <f>IF(Valuing_Option!$C$27,E39,0)</f>
        <v>30.353656127488989</v>
      </c>
      <c r="L39">
        <f>IF(Valuing_Option!$C$27,$I39,Valuing_Option!$L$18)</f>
        <v>129.99999999999997</v>
      </c>
      <c r="M39">
        <f>IF(Valuing_Option!$C$28,F39,0)</f>
        <v>-104.23348377206935</v>
      </c>
      <c r="N39">
        <f>IF(Valuing_Option!$C$28,$I39,Valuing_Option!$L$18)</f>
        <v>129.99999999999997</v>
      </c>
      <c r="O39">
        <f>IF(Valuing_Option!$C$29,G39,0)</f>
        <v>129.80514617690156</v>
      </c>
      <c r="P39">
        <f>IF(Valuing_Option!$C$29,$I39,Valuing_Option!$L$18)</f>
        <v>129.99999999999997</v>
      </c>
      <c r="Q39">
        <f>IF(Valuing_Option!$C$31,Valuing_Option_calcs!K39+Valuing_Option_calcs!M39+Valuing_Option_calcs!O39,0)</f>
        <v>0</v>
      </c>
      <c r="R39">
        <f>IF(Valuing_Option!$C$31,Valuing_Option_calcs!I39,Valuing_Option!$L$18)</f>
        <v>100</v>
      </c>
    </row>
    <row r="40" spans="2:18">
      <c r="D40" s="15">
        <f t="shared" si="1"/>
        <v>30</v>
      </c>
      <c r="E40" s="4">
        <v>32.849893985771828</v>
      </c>
      <c r="F40" s="4">
        <v>-109.22973517796788</v>
      </c>
      <c r="G40" s="4">
        <v>132.30139898799661</v>
      </c>
      <c r="H40" s="4"/>
      <c r="I40" s="4">
        <f>($C$15+($C$14-$C$15)*(D40-1)/($C$13-1))*Valuing_Option!$L$18</f>
        <v>132.5</v>
      </c>
      <c r="J40" s="4">
        <f t="shared" si="0"/>
        <v>55.921557795800553</v>
      </c>
      <c r="K40">
        <f>IF(Valuing_Option!$C$27,E40,0)</f>
        <v>32.849893985771828</v>
      </c>
      <c r="L40">
        <f>IF(Valuing_Option!$C$27,$I40,Valuing_Option!$L$18)</f>
        <v>132.5</v>
      </c>
      <c r="M40">
        <f>IF(Valuing_Option!$C$28,F40,0)</f>
        <v>-109.22973517796788</v>
      </c>
      <c r="N40">
        <f>IF(Valuing_Option!$C$28,$I40,Valuing_Option!$L$18)</f>
        <v>132.5</v>
      </c>
      <c r="O40">
        <f>IF(Valuing_Option!$C$29,G40,0)</f>
        <v>132.30139898799661</v>
      </c>
      <c r="P40">
        <f>IF(Valuing_Option!$C$29,$I40,Valuing_Option!$L$18)</f>
        <v>132.5</v>
      </c>
      <c r="Q40">
        <f>IF(Valuing_Option!$C$31,Valuing_Option_calcs!K40+Valuing_Option_calcs!M40+Valuing_Option_calcs!O40,0)</f>
        <v>0</v>
      </c>
      <c r="R40">
        <f>IF(Valuing_Option!$C$31,Valuing_Option_calcs!I40,Valuing_Option!$L$18)</f>
        <v>100</v>
      </c>
    </row>
    <row r="41" spans="2:18">
      <c r="D41" s="15">
        <f t="shared" si="1"/>
        <v>31</v>
      </c>
      <c r="E41" s="4">
        <v>35.346143143137951</v>
      </c>
      <c r="F41" s="4">
        <v>-114.22598658386642</v>
      </c>
      <c r="G41" s="4">
        <v>134.79765179909097</v>
      </c>
      <c r="H41" s="4"/>
      <c r="I41" s="4">
        <f>($C$15+($C$14-$C$15)*(D41-1)/($C$13-1))*Valuing_Option!$L$18</f>
        <v>135</v>
      </c>
      <c r="J41" s="4">
        <f t="shared" si="0"/>
        <v>55.917808358362507</v>
      </c>
      <c r="K41">
        <f>IF(Valuing_Option!$C$27,E41,0)</f>
        <v>35.346143143137951</v>
      </c>
      <c r="L41">
        <f>IF(Valuing_Option!$C$27,$I41,Valuing_Option!$L$18)</f>
        <v>135</v>
      </c>
      <c r="M41">
        <f>IF(Valuing_Option!$C$28,F41,0)</f>
        <v>-114.22598658386642</v>
      </c>
      <c r="N41">
        <f>IF(Valuing_Option!$C$28,$I41,Valuing_Option!$L$18)</f>
        <v>135</v>
      </c>
      <c r="O41">
        <f>IF(Valuing_Option!$C$29,G41,0)</f>
        <v>134.79765179909097</v>
      </c>
      <c r="P41">
        <f>IF(Valuing_Option!$C$29,$I41,Valuing_Option!$L$18)</f>
        <v>135</v>
      </c>
      <c r="Q41">
        <f>IF(Valuing_Option!$C$31,Valuing_Option_calcs!K41+Valuing_Option_calcs!M41+Valuing_Option_calcs!O41,0)</f>
        <v>0</v>
      </c>
      <c r="R41">
        <f>IF(Valuing_Option!$C$31,Valuing_Option_calcs!I41,Valuing_Option!$L$18)</f>
        <v>100</v>
      </c>
    </row>
    <row r="42" spans="2:18">
      <c r="D42" s="15">
        <f t="shared" si="1"/>
        <v>32</v>
      </c>
      <c r="E42" s="4">
        <v>37.842395111187514</v>
      </c>
      <c r="F42" s="4">
        <v>-119.22223798976489</v>
      </c>
      <c r="G42" s="4">
        <v>137.29390461018525</v>
      </c>
      <c r="H42" s="4"/>
      <c r="I42" s="4">
        <f>($C$15+($C$14-$C$15)*(D42-1)/($C$13-1))*Valuing_Option!$L$18</f>
        <v>137.5</v>
      </c>
      <c r="J42" s="4">
        <f t="shared" si="0"/>
        <v>55.914061731607873</v>
      </c>
      <c r="K42">
        <f>IF(Valuing_Option!$C$27,E42,0)</f>
        <v>37.842395111187514</v>
      </c>
      <c r="L42">
        <f>IF(Valuing_Option!$C$27,$I42,Valuing_Option!$L$18)</f>
        <v>137.5</v>
      </c>
      <c r="M42">
        <f>IF(Valuing_Option!$C$28,F42,0)</f>
        <v>-119.22223798976489</v>
      </c>
      <c r="N42">
        <f>IF(Valuing_Option!$C$28,$I42,Valuing_Option!$L$18)</f>
        <v>137.5</v>
      </c>
      <c r="O42">
        <f>IF(Valuing_Option!$C$29,G42,0)</f>
        <v>137.29390461018525</v>
      </c>
      <c r="P42">
        <f>IF(Valuing_Option!$C$29,$I42,Valuing_Option!$L$18)</f>
        <v>137.5</v>
      </c>
      <c r="Q42">
        <f>IF(Valuing_Option!$C$31,Valuing_Option_calcs!K42+Valuing_Option_calcs!M42+Valuing_Option_calcs!O42,0)</f>
        <v>0</v>
      </c>
      <c r="R42">
        <f>IF(Valuing_Option!$C$31,Valuing_Option_calcs!I42,Valuing_Option!$L$18)</f>
        <v>100</v>
      </c>
    </row>
    <row r="43" spans="2:18">
      <c r="D43" s="15">
        <f t="shared" si="1"/>
        <v>33</v>
      </c>
      <c r="E43" s="4">
        <v>40.338647737997761</v>
      </c>
      <c r="F43" s="4">
        <v>-124.21848939566343</v>
      </c>
      <c r="G43" s="4">
        <v>139.79015742127953</v>
      </c>
      <c r="H43" s="4"/>
      <c r="I43" s="4">
        <f>($C$15+($C$14-$C$15)*(D43-1)/($C$13-1))*Valuing_Option!$L$18</f>
        <v>140</v>
      </c>
      <c r="J43" s="4">
        <f t="shared" si="0"/>
        <v>55.910315763613866</v>
      </c>
      <c r="K43">
        <f>IF(Valuing_Option!$C$27,E43,0)</f>
        <v>40.338647737997761</v>
      </c>
      <c r="L43">
        <f>IF(Valuing_Option!$C$27,$I43,Valuing_Option!$L$18)</f>
        <v>140</v>
      </c>
      <c r="M43">
        <f>IF(Valuing_Option!$C$28,F43,0)</f>
        <v>-124.21848939566343</v>
      </c>
      <c r="N43">
        <f>IF(Valuing_Option!$C$28,$I43,Valuing_Option!$L$18)</f>
        <v>140</v>
      </c>
      <c r="O43">
        <f>IF(Valuing_Option!$C$29,G43,0)</f>
        <v>139.79015742127953</v>
      </c>
      <c r="P43">
        <f>IF(Valuing_Option!$C$29,$I43,Valuing_Option!$L$18)</f>
        <v>140</v>
      </c>
      <c r="Q43">
        <f>IF(Valuing_Option!$C$31,Valuing_Option_calcs!K43+Valuing_Option_calcs!M43+Valuing_Option_calcs!O43,0)</f>
        <v>0</v>
      </c>
      <c r="R43">
        <f>IF(Valuing_Option!$C$31,Valuing_Option_calcs!I43,Valuing_Option!$L$18)</f>
        <v>100</v>
      </c>
    </row>
    <row r="44" spans="2:18">
      <c r="B44" s="18"/>
    </row>
    <row r="45" spans="2:18">
      <c r="B45" s="18"/>
    </row>
    <row r="46" spans="2:18">
      <c r="B46" s="18"/>
    </row>
    <row r="47" spans="2:18">
      <c r="B47" s="18"/>
    </row>
    <row r="48" spans="2:18">
      <c r="B48" s="18"/>
    </row>
  </sheetData>
  <sheetProtection algorithmName="SHA-512" hashValue="9swGB+ND62I5LIvsmR4GgtWC0AgEV9lr7i+DvmQYUFWSzNmHmemttn2VzaYPKbunSu0+B7vNu97ILQ3s380uOw==" saltValue="hbMdxixMqCN48Zfl9SwOfg==" spinCount="100000" sheet="1" objects="1" scenarios="1"/>
  <mergeCells count="4">
    <mergeCell ref="K9:L9"/>
    <mergeCell ref="M9:N9"/>
    <mergeCell ref="O9:P9"/>
    <mergeCell ref="Q9:R9"/>
  </mergeCells>
  <phoneticPr fontId="2" type="noConversion"/>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dimension ref="A1:L15"/>
  <sheetViews>
    <sheetView workbookViewId="0"/>
  </sheetViews>
  <sheetFormatPr defaultColWidth="0" defaultRowHeight="12.5"/>
  <cols>
    <col min="1" max="2" width="1" customWidth="1"/>
    <col min="3" max="22" width="8.7265625" customWidth="1"/>
  </cols>
  <sheetData>
    <row r="1" spans="1:12">
      <c r="A1" s="32"/>
      <c r="B1" s="32">
        <v>0</v>
      </c>
      <c r="C1" s="32">
        <f t="shared" ref="C1:I1" si="0">B1+1</f>
        <v>1</v>
      </c>
      <c r="D1" s="63">
        <f t="shared" si="0"/>
        <v>2</v>
      </c>
      <c r="E1" s="32">
        <f t="shared" si="0"/>
        <v>3</v>
      </c>
      <c r="F1" s="32">
        <f t="shared" si="0"/>
        <v>4</v>
      </c>
      <c r="G1" s="32">
        <f t="shared" si="0"/>
        <v>5</v>
      </c>
      <c r="H1" s="32">
        <f t="shared" si="0"/>
        <v>6</v>
      </c>
      <c r="I1" s="32">
        <f t="shared" si="0"/>
        <v>7</v>
      </c>
      <c r="J1" s="32"/>
      <c r="K1" s="32"/>
      <c r="L1" s="32"/>
    </row>
    <row r="2" spans="1:12">
      <c r="A2" s="32">
        <v>1</v>
      </c>
      <c r="B2" s="32" t="str">
        <f>Scheduling!C23</f>
        <v>A</v>
      </c>
      <c r="C2" s="32" t="str">
        <f>VLOOKUP(B2,Scheduling!$C$23:$E$29,3)</f>
        <v>C</v>
      </c>
      <c r="D2" s="63" t="str">
        <f>VLOOKUP(C2,Scheduling!$C$23:$E$29,3)</f>
        <v>&lt;none&gt;</v>
      </c>
      <c r="E2" s="32" t="e">
        <f>VLOOKUP(D2,Scheduling!$C$23:$E$29,3)</f>
        <v>#N/A</v>
      </c>
      <c r="F2" s="32" t="e">
        <f>VLOOKUP(E2,Scheduling!$C$23:$E$29,3)</f>
        <v>#N/A</v>
      </c>
      <c r="G2" s="32" t="e">
        <f>VLOOKUP(F2,Scheduling!$C$23:$E$29,3)</f>
        <v>#N/A</v>
      </c>
      <c r="H2" s="32" t="e">
        <f>VLOOKUP(G2,Scheduling!$C$23:$E$29,3)</f>
        <v>#N/A</v>
      </c>
      <c r="I2" s="32" t="e">
        <f>VLOOKUP(H2,Scheduling!$C$23:$E$29,3)</f>
        <v>#N/A</v>
      </c>
      <c r="J2" s="32">
        <f t="shared" ref="J2:J8" si="1">IF(ISNA(MATCH(B2,C2:I2,0)),0,MATCH(B2,C2:I2,0))</f>
        <v>0</v>
      </c>
      <c r="K2" s="32"/>
      <c r="L2" s="32">
        <f t="shared" ref="L2:L8" si="2">IF(J2&gt;0,A2,0)</f>
        <v>0</v>
      </c>
    </row>
    <row r="3" spans="1:12">
      <c r="A3" s="32">
        <f t="shared" ref="A3:A8" si="3">A2+1</f>
        <v>2</v>
      </c>
      <c r="B3" s="32" t="str">
        <f>Scheduling!C24</f>
        <v>B</v>
      </c>
      <c r="C3" s="32" t="str">
        <f>VLOOKUP(B3,Scheduling!$C$23:$E$29,3)</f>
        <v>D</v>
      </c>
      <c r="D3" s="63" t="str">
        <f>VLOOKUP(C3,Scheduling!$C$23:$E$29,3)</f>
        <v>E</v>
      </c>
      <c r="E3" s="32" t="str">
        <f>VLOOKUP(D3,Scheduling!$C$23:$E$29,3)</f>
        <v>F</v>
      </c>
      <c r="F3" s="32" t="str">
        <f>VLOOKUP(E3,Scheduling!$C$23:$E$29,3)</f>
        <v>G</v>
      </c>
      <c r="G3" s="32" t="str">
        <f>VLOOKUP(F3,Scheduling!$C$23:$E$29,3)</f>
        <v>&lt;none&gt;</v>
      </c>
      <c r="H3" s="32" t="e">
        <f>VLOOKUP(G3,Scheduling!$C$23:$E$29,3)</f>
        <v>#N/A</v>
      </c>
      <c r="I3" s="32" t="e">
        <f>VLOOKUP(H3,Scheduling!$C$23:$E$29,3)</f>
        <v>#N/A</v>
      </c>
      <c r="J3" s="32">
        <f t="shared" si="1"/>
        <v>0</v>
      </c>
      <c r="K3" s="32"/>
      <c r="L3" s="32">
        <f t="shared" si="2"/>
        <v>0</v>
      </c>
    </row>
    <row r="4" spans="1:12">
      <c r="A4" s="32">
        <f t="shared" si="3"/>
        <v>3</v>
      </c>
      <c r="B4" s="32" t="str">
        <f>Scheduling!C25</f>
        <v>C</v>
      </c>
      <c r="C4" s="32" t="str">
        <f>VLOOKUP(B4,Scheduling!$C$23:$E$29,3)</f>
        <v>&lt;none&gt;</v>
      </c>
      <c r="D4" s="63" t="e">
        <f>VLOOKUP(C4,Scheduling!$C$23:$E$29,3)</f>
        <v>#N/A</v>
      </c>
      <c r="E4" s="32" t="e">
        <f>VLOOKUP(D4,Scheduling!$C$23:$E$29,3)</f>
        <v>#N/A</v>
      </c>
      <c r="F4" s="32" t="e">
        <f>VLOOKUP(E4,Scheduling!$C$23:$E$29,3)</f>
        <v>#N/A</v>
      </c>
      <c r="G4" s="32" t="e">
        <f>VLOOKUP(F4,Scheduling!$C$23:$E$29,3)</f>
        <v>#N/A</v>
      </c>
      <c r="H4" s="32" t="e">
        <f>VLOOKUP(G4,Scheduling!$C$23:$E$29,3)</f>
        <v>#N/A</v>
      </c>
      <c r="I4" s="32" t="e">
        <f>VLOOKUP(H4,Scheduling!$C$23:$E$29,3)</f>
        <v>#N/A</v>
      </c>
      <c r="J4" s="32">
        <f t="shared" si="1"/>
        <v>0</v>
      </c>
      <c r="K4" s="32"/>
      <c r="L4" s="32">
        <f t="shared" si="2"/>
        <v>0</v>
      </c>
    </row>
    <row r="5" spans="1:12">
      <c r="A5" s="32">
        <f t="shared" si="3"/>
        <v>4</v>
      </c>
      <c r="B5" s="32" t="str">
        <f>Scheduling!C26</f>
        <v>D</v>
      </c>
      <c r="C5" s="32" t="str">
        <f>VLOOKUP(B5,Scheduling!$C$23:$E$29,3)</f>
        <v>E</v>
      </c>
      <c r="D5" s="63" t="str">
        <f>VLOOKUP(C5,Scheduling!$C$23:$E$29,3)</f>
        <v>F</v>
      </c>
      <c r="E5" s="32" t="str">
        <f>VLOOKUP(D5,Scheduling!$C$23:$E$29,3)</f>
        <v>G</v>
      </c>
      <c r="F5" s="32" t="str">
        <f>VLOOKUP(E5,Scheduling!$C$23:$E$29,3)</f>
        <v>&lt;none&gt;</v>
      </c>
      <c r="G5" s="32" t="e">
        <f>VLOOKUP(F5,Scheduling!$C$23:$E$29,3)</f>
        <v>#N/A</v>
      </c>
      <c r="H5" s="32" t="e">
        <f>VLOOKUP(G5,Scheduling!$C$23:$E$29,3)</f>
        <v>#N/A</v>
      </c>
      <c r="I5" s="32" t="e">
        <f>VLOOKUP(H5,Scheduling!$C$23:$E$29,3)</f>
        <v>#N/A</v>
      </c>
      <c r="J5" s="32">
        <f t="shared" si="1"/>
        <v>0</v>
      </c>
      <c r="K5" s="32"/>
      <c r="L5" s="32">
        <f t="shared" si="2"/>
        <v>0</v>
      </c>
    </row>
    <row r="6" spans="1:12">
      <c r="A6" s="32">
        <f t="shared" si="3"/>
        <v>5</v>
      </c>
      <c r="B6" s="32" t="str">
        <f>Scheduling!C27</f>
        <v>E</v>
      </c>
      <c r="C6" s="32" t="str">
        <f>VLOOKUP(B6,Scheduling!$C$23:$E$29,3)</f>
        <v>F</v>
      </c>
      <c r="D6" s="63" t="str">
        <f>VLOOKUP(C6,Scheduling!$C$23:$E$29,3)</f>
        <v>G</v>
      </c>
      <c r="E6" s="32" t="str">
        <f>VLOOKUP(D6,Scheduling!$C$23:$E$29,3)</f>
        <v>&lt;none&gt;</v>
      </c>
      <c r="F6" s="32" t="e">
        <f>VLOOKUP(E6,Scheduling!$C$23:$E$29,3)</f>
        <v>#N/A</v>
      </c>
      <c r="G6" s="32" t="e">
        <f>VLOOKUP(F6,Scheduling!$C$23:$E$29,3)</f>
        <v>#N/A</v>
      </c>
      <c r="H6" s="32" t="e">
        <f>VLOOKUP(G6,Scheduling!$C$23:$E$29,3)</f>
        <v>#N/A</v>
      </c>
      <c r="I6" s="32" t="e">
        <f>VLOOKUP(H6,Scheduling!$C$23:$E$29,3)</f>
        <v>#N/A</v>
      </c>
      <c r="J6" s="32">
        <f t="shared" si="1"/>
        <v>0</v>
      </c>
      <c r="K6" s="32"/>
      <c r="L6" s="32">
        <f t="shared" si="2"/>
        <v>0</v>
      </c>
    </row>
    <row r="7" spans="1:12">
      <c r="A7" s="32">
        <f t="shared" si="3"/>
        <v>6</v>
      </c>
      <c r="B7" s="32" t="str">
        <f>Scheduling!C28</f>
        <v>F</v>
      </c>
      <c r="C7" s="32" t="str">
        <f>VLOOKUP(B7,Scheduling!$C$23:$E$29,3)</f>
        <v>G</v>
      </c>
      <c r="D7" s="63" t="str">
        <f>VLOOKUP(C7,Scheduling!$C$23:$E$29,3)</f>
        <v>&lt;none&gt;</v>
      </c>
      <c r="E7" s="32" t="e">
        <f>VLOOKUP(D7,Scheduling!$C$23:$E$29,3)</f>
        <v>#N/A</v>
      </c>
      <c r="F7" s="32" t="e">
        <f>VLOOKUP(E7,Scheduling!$C$23:$E$29,3)</f>
        <v>#N/A</v>
      </c>
      <c r="G7" s="32" t="e">
        <f>VLOOKUP(F7,Scheduling!$C$23:$E$29,3)</f>
        <v>#N/A</v>
      </c>
      <c r="H7" s="32" t="e">
        <f>VLOOKUP(G7,Scheduling!$C$23:$E$29,3)</f>
        <v>#N/A</v>
      </c>
      <c r="I7" s="32" t="e">
        <f>VLOOKUP(H7,Scheduling!$C$23:$E$29,3)</f>
        <v>#N/A</v>
      </c>
      <c r="J7" s="32">
        <f t="shared" si="1"/>
        <v>0</v>
      </c>
      <c r="K7" s="32"/>
      <c r="L7" s="32">
        <f t="shared" si="2"/>
        <v>0</v>
      </c>
    </row>
    <row r="8" spans="1:12">
      <c r="A8" s="32">
        <f t="shared" si="3"/>
        <v>7</v>
      </c>
      <c r="B8" s="32" t="str">
        <f>Scheduling!C29</f>
        <v>G</v>
      </c>
      <c r="C8" s="32" t="str">
        <f>VLOOKUP(B8,Scheduling!$C$23:$E$29,3)</f>
        <v>&lt;none&gt;</v>
      </c>
      <c r="D8" s="63" t="e">
        <f>VLOOKUP(C8,Scheduling!$C$23:$E$29,3)</f>
        <v>#N/A</v>
      </c>
      <c r="E8" s="32" t="e">
        <f>VLOOKUP(D8,Scheduling!$C$23:$E$29,3)</f>
        <v>#N/A</v>
      </c>
      <c r="F8" s="32" t="e">
        <f>VLOOKUP(E8,Scheduling!$C$23:$E$29,3)</f>
        <v>#N/A</v>
      </c>
      <c r="G8" s="32" t="e">
        <f>VLOOKUP(F8,Scheduling!$C$23:$E$29,3)</f>
        <v>#N/A</v>
      </c>
      <c r="H8" s="32" t="e">
        <f>VLOOKUP(G8,Scheduling!$C$23:$E$29,3)</f>
        <v>#N/A</v>
      </c>
      <c r="I8" s="32" t="e">
        <f>VLOOKUP(H8,Scheduling!$C$23:$E$29,3)</f>
        <v>#N/A</v>
      </c>
      <c r="J8" s="32">
        <f t="shared" si="1"/>
        <v>0</v>
      </c>
      <c r="K8" s="32"/>
      <c r="L8" s="32">
        <f t="shared" si="2"/>
        <v>0</v>
      </c>
    </row>
    <row r="10" spans="1:12" s="32" customFormat="1">
      <c r="C10" s="32" t="s">
        <v>1479</v>
      </c>
      <c r="E10" s="63"/>
    </row>
    <row r="11" spans="1:12" s="32" customFormat="1">
      <c r="E11" s="63"/>
    </row>
    <row r="12" spans="1:12" s="32" customFormat="1">
      <c r="C12" s="32">
        <f ca="1">OFFSET(Scheduling_calcs!B1,Scheduling!$J$31,0)</f>
        <v>0</v>
      </c>
      <c r="D12" s="32">
        <f ca="1">OFFSET(Scheduling_calcs!C1,Scheduling!$J$31,0)</f>
        <v>1</v>
      </c>
      <c r="E12" s="63">
        <f ca="1">OFFSET(Scheduling_calcs!D1,Scheduling!$J$31,0)</f>
        <v>2</v>
      </c>
      <c r="F12" s="32">
        <f ca="1">OFFSET(Scheduling_calcs!E1,Scheduling!$J$31,0)</f>
        <v>3</v>
      </c>
      <c r="G12" s="32">
        <f ca="1">OFFSET(Scheduling_calcs!F1,Scheduling!$J$31,0)</f>
        <v>4</v>
      </c>
      <c r="H12" s="32">
        <f ca="1">OFFSET(Scheduling_calcs!G1,Scheduling!$J$31,0)</f>
        <v>5</v>
      </c>
      <c r="I12" s="32">
        <f ca="1">OFFSET(Scheduling_calcs!H1,Scheduling!$J$31,0)</f>
        <v>6</v>
      </c>
      <c r="J12" s="32">
        <f ca="1">OFFSET(Scheduling_calcs!I1,Scheduling!$J$31,0)</f>
        <v>7</v>
      </c>
    </row>
    <row r="13" spans="1:12" s="32" customFormat="1">
      <c r="C13" s="32" t="str">
        <f>IF(Scheduling_calcs!B1&lt;Scheduling!$H$31,C12&amp;"'s prerequisite is "&amp;D12&amp;", ","")</f>
        <v/>
      </c>
      <c r="D13" s="32" t="str">
        <f>IF(Scheduling_calcs!C1&lt;Scheduling!$H$31,D12&amp;"'s prerequisite is "&amp;E12&amp;", ","")</f>
        <v/>
      </c>
      <c r="E13" s="63" t="str">
        <f>IF(Scheduling_calcs!D1&lt;Scheduling!$H$31,E12&amp;"'s prerequisite is "&amp;F12&amp;", ","")</f>
        <v/>
      </c>
      <c r="F13" s="32" t="str">
        <f>IF(Scheduling_calcs!E1&lt;Scheduling!$H$31,F12&amp;"'s prerequisite is "&amp;G12&amp;", ","")</f>
        <v/>
      </c>
      <c r="G13" s="32" t="str">
        <f>IF(Scheduling_calcs!F1&lt;Scheduling!$H$31,G12&amp;"'s prerequisite is "&amp;H12&amp;", ","")</f>
        <v/>
      </c>
      <c r="H13" s="32" t="str">
        <f>IF(Scheduling_calcs!G1&lt;Scheduling!$H$31,H12&amp;"'s prerequisite is "&amp;I12&amp;", ","")</f>
        <v/>
      </c>
      <c r="I13" s="32" t="str">
        <f>IF(Scheduling_calcs!H1&lt;Scheduling!$H$31,I12&amp;"'s prerequisite is "&amp;J12&amp;", ","")</f>
        <v/>
      </c>
      <c r="J13" s="32" t="str">
        <f>IF(Scheduling_calcs!I1&lt;Scheduling!$H$31,J12&amp;"'s prerequisite is "&amp;K12&amp;", ","")</f>
        <v/>
      </c>
    </row>
    <row r="14" spans="1:12" s="32" customFormat="1">
      <c r="E14" s="63"/>
    </row>
    <row r="15" spans="1:12" s="32" customFormat="1">
      <c r="C15" s="32" t="str">
        <f>IF(Scheduling!H31=0,"",C13&amp;D13&amp;E13&amp;F13&amp;G13&amp;H13&amp;I13&amp;J13)</f>
        <v/>
      </c>
      <c r="E15" s="63"/>
    </row>
  </sheetData>
  <sheetProtection algorithmName="SHA-512" hashValue="Pxj+ExWcjvSeKoEYS4lPzCb+s8/8LbgsfrXg3TMAdUtBG+M2EQrvorXBETt23xfkLvBgP1SvHMaSwSwjOktQuw==" saltValue="duTG09rrzjZXP3/kG8qKmA==" spinCount="100000" sheet="1" objects="1" scenarios="1"/>
  <phoneticPr fontId="2" type="noConversion"/>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C1:N23"/>
  <sheetViews>
    <sheetView showGridLines="0" showRowColHeaders="0" workbookViewId="0">
      <selection activeCell="G22" sqref="G22:K22"/>
    </sheetView>
  </sheetViews>
  <sheetFormatPr defaultColWidth="0" defaultRowHeight="12.5" zeroHeight="1"/>
  <cols>
    <col min="1" max="2" width="1" customWidth="1"/>
    <col min="3" max="3" width="3" customWidth="1"/>
    <col min="4" max="11" width="10.54296875" customWidth="1"/>
    <col min="12" max="14" width="10.453125" customWidth="1"/>
    <col min="15" max="15" width="1.81640625" customWidth="1"/>
  </cols>
  <sheetData>
    <row r="1" spans="3:14"/>
    <row r="2" spans="3:14">
      <c r="C2" s="105"/>
      <c r="D2" s="105"/>
      <c r="E2" s="105"/>
      <c r="F2" s="105"/>
      <c r="G2" s="105"/>
      <c r="H2" s="105"/>
      <c r="I2" s="105"/>
      <c r="J2" s="105"/>
      <c r="K2" s="105"/>
      <c r="L2" s="105"/>
      <c r="M2" s="105"/>
      <c r="N2" s="105"/>
    </row>
    <row r="3" spans="3:14" ht="16" thickBot="1">
      <c r="C3" s="96" t="s">
        <v>409</v>
      </c>
    </row>
    <row r="4" spans="3:14" ht="13" thickTop="1">
      <c r="L4" s="1506" t="str">
        <f ca="1">OFFSET(ad_first,OFFSET(ads_top,ROW(ads_VB)-1,1),0)</f>
        <v>Our financial modelling course covers the finance and accounting concepts that underlay financial modelling</v>
      </c>
      <c r="M4" s="1507"/>
      <c r="N4" s="1508"/>
    </row>
    <row r="5" spans="3:14">
      <c r="C5" t="s">
        <v>410</v>
      </c>
      <c r="L5" s="1509"/>
      <c r="M5" s="1510"/>
      <c r="N5" s="1511"/>
    </row>
    <row r="6" spans="3:14">
      <c r="L6" s="1509"/>
      <c r="M6" s="1510"/>
      <c r="N6" s="1511"/>
    </row>
    <row r="7" spans="3:14">
      <c r="C7" s="766" t="s">
        <v>361</v>
      </c>
      <c r="D7" t="s">
        <v>411</v>
      </c>
      <c r="L7" s="1509"/>
      <c r="M7" s="1510"/>
      <c r="N7" s="1511"/>
    </row>
    <row r="8" spans="3:14" ht="13" thickBot="1">
      <c r="C8" s="766" t="s">
        <v>361</v>
      </c>
      <c r="D8" t="s">
        <v>170</v>
      </c>
      <c r="L8" s="1512"/>
      <c r="M8" s="1513"/>
      <c r="N8" s="1514"/>
    </row>
    <row r="9" spans="3:14" ht="13" thickTop="1">
      <c r="C9" s="766" t="s">
        <v>361</v>
      </c>
      <c r="D9" s="1675" t="s">
        <v>171</v>
      </c>
      <c r="E9" s="1675"/>
      <c r="F9" s="1675"/>
      <c r="G9" s="1675"/>
      <c r="H9" s="1675"/>
      <c r="I9" s="1675"/>
      <c r="J9" s="1675"/>
      <c r="K9" s="1675"/>
    </row>
    <row r="10" spans="3:14">
      <c r="C10" s="766"/>
      <c r="D10" s="1675"/>
      <c r="E10" s="1675"/>
      <c r="F10" s="1675"/>
      <c r="G10" s="1675"/>
      <c r="H10" s="1675"/>
      <c r="I10" s="1675"/>
      <c r="J10" s="1675"/>
      <c r="K10" s="1675"/>
    </row>
    <row r="11" spans="3:14">
      <c r="C11" s="766" t="s">
        <v>361</v>
      </c>
      <c r="D11" t="s">
        <v>172</v>
      </c>
    </row>
    <row r="12" spans="3:14">
      <c r="C12" s="766" t="s">
        <v>361</v>
      </c>
      <c r="D12" t="s">
        <v>173</v>
      </c>
    </row>
    <row r="13" spans="3:14"/>
    <row r="14" spans="3:14">
      <c r="C14" s="1676" t="s">
        <v>265</v>
      </c>
      <c r="D14" s="1516"/>
      <c r="E14" s="1516"/>
      <c r="F14" s="1516"/>
      <c r="G14" s="1516"/>
      <c r="H14" s="1516"/>
      <c r="I14" s="1516"/>
      <c r="J14" s="1516"/>
      <c r="K14" s="1516"/>
      <c r="L14" s="1516"/>
      <c r="M14" s="1516"/>
      <c r="N14" s="1516"/>
    </row>
    <row r="15" spans="3:14">
      <c r="C15" s="1518"/>
      <c r="D15" s="1518"/>
      <c r="E15" s="1518"/>
      <c r="F15" s="1518"/>
      <c r="G15" s="1518"/>
      <c r="H15" s="1518"/>
      <c r="I15" s="1518"/>
      <c r="J15" s="1518"/>
      <c r="K15" s="1518"/>
      <c r="L15" s="1518"/>
      <c r="M15" s="1518"/>
      <c r="N15" s="1518"/>
    </row>
    <row r="16" spans="3:14">
      <c r="I16" s="27"/>
      <c r="J16" s="27"/>
      <c r="K16" s="27"/>
    </row>
    <row r="17" spans="3:14">
      <c r="G17" s="1677" t="s">
        <v>174</v>
      </c>
      <c r="H17" s="1677"/>
      <c r="I17" s="1677"/>
      <c r="J17" s="22"/>
      <c r="K17" s="1000"/>
    </row>
    <row r="18" spans="3:14">
      <c r="G18" s="1002"/>
      <c r="H18" s="1000"/>
      <c r="I18" s="1000"/>
      <c r="J18" s="1000"/>
      <c r="K18" s="1000"/>
    </row>
    <row r="19" spans="3:14">
      <c r="E19" s="27"/>
      <c r="F19" s="27"/>
    </row>
    <row r="20" spans="3:14">
      <c r="C20" s="1672" t="str">
        <f>back_to_index</f>
        <v>Back to contents</v>
      </c>
      <c r="D20" s="1672"/>
      <c r="G20" s="1674" t="str">
        <f>page_prefix &amp; page_VB &amp; page_suffix</f>
        <v>- Page 19 -</v>
      </c>
      <c r="H20" s="1674"/>
      <c r="I20" s="1674"/>
      <c r="J20" s="1674"/>
      <c r="K20" s="1674"/>
      <c r="M20" s="1673" t="str">
        <f>back_to_top</f>
        <v>Back to top</v>
      </c>
      <c r="N20" s="1673"/>
    </row>
    <row r="21" spans="3:14">
      <c r="G21" s="1674" t="str">
        <f>copyright</f>
        <v>Copyright (c) 2009 Tykoh Group Pty Limited</v>
      </c>
      <c r="H21" s="1674"/>
      <c r="I21" s="1674"/>
      <c r="J21" s="1674"/>
      <c r="K21" s="1674"/>
    </row>
    <row r="22" spans="3:14">
      <c r="G22" s="1452" t="str">
        <f>home_address</f>
        <v>www.tykoh.com</v>
      </c>
      <c r="H22" s="1452"/>
      <c r="I22" s="1452"/>
      <c r="J22" s="1452"/>
      <c r="K22" s="1452"/>
    </row>
    <row r="23" spans="3:14"/>
  </sheetData>
  <sheetProtection algorithmName="SHA-512" hashValue="UfRDrhTsaKAGX/Zwv3EMtZBqWbHrpRmeEFPzoEpOpLwxE2KlvPiZDZQStp567k4lyWT2ZzUpylzCARj6k0YO5w==" saltValue="/mdZinFHv+vPX0g2bnnjcw==" spinCount="100000" sheet="1" objects="1" scenarios="1"/>
  <mergeCells count="9">
    <mergeCell ref="L4:N8"/>
    <mergeCell ref="C14:N15"/>
    <mergeCell ref="G21:K21"/>
    <mergeCell ref="G17:I17"/>
    <mergeCell ref="G22:K22"/>
    <mergeCell ref="C20:D20"/>
    <mergeCell ref="M20:N20"/>
    <mergeCell ref="G20:K20"/>
    <mergeCell ref="D9:K10"/>
  </mergeCells>
  <phoneticPr fontId="2" type="noConversion"/>
  <hyperlinks>
    <hyperlink ref="C20:D20" location="hh_index" display="hh_index" xr:uid="{00000000-0004-0000-1F00-000000000000}"/>
    <hyperlink ref="M20:N20" location="hh_VBing" display="hh_VBing" xr:uid="{00000000-0004-0000-1F00-000001000000}"/>
    <hyperlink ref="G22:K22" r:id="rId1" display="https://www.tykoh.com/" xr:uid="{00000000-0004-0000-1F00-000002000000}"/>
    <hyperlink ref="G17:I17" r:id="rId2" display="Visual Basic Workshop" xr:uid="{00000000-0004-0000-1F00-000003000000}"/>
  </hyperlinks>
  <pageMargins left="0.75" right="0.75" top="1" bottom="1" header="0.5" footer="0.5"/>
  <pageSetup scale="74" orientation="portrait"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7">
    <pageSetUpPr fitToPage="1"/>
  </sheetPr>
  <dimension ref="A1:AU47"/>
  <sheetViews>
    <sheetView showGridLines="0" showRowColHeaders="0" topLeftCell="A34" workbookViewId="0">
      <selection activeCell="M46" sqref="M46:Z46"/>
    </sheetView>
  </sheetViews>
  <sheetFormatPr defaultColWidth="0" defaultRowHeight="12.5" zeroHeight="1"/>
  <cols>
    <col min="1" max="2" width="1" customWidth="1"/>
    <col min="3" max="3" width="17.81640625" customWidth="1"/>
    <col min="4" max="4" width="73.1796875" style="6" hidden="1" customWidth="1"/>
    <col min="5" max="5" width="3.26953125" style="6" customWidth="1"/>
    <col min="6" max="9" width="2.54296875" style="7" customWidth="1"/>
    <col min="10" max="45" width="2.453125" style="7" customWidth="1"/>
    <col min="46" max="46" width="1.81640625" style="6" customWidth="1"/>
    <col min="47" max="16384" width="9.1796875" hidden="1"/>
  </cols>
  <sheetData>
    <row r="1" spans="3:45"/>
    <row r="2" spans="3:45">
      <c r="C2" s="105"/>
      <c r="D2" s="106"/>
      <c r="E2" s="106"/>
      <c r="F2" s="108"/>
      <c r="G2" s="108"/>
      <c r="H2" s="108"/>
      <c r="I2" s="108"/>
      <c r="J2" s="1683"/>
      <c r="K2" s="1683"/>
      <c r="L2" s="1683"/>
      <c r="M2" s="1683"/>
      <c r="N2" s="1683"/>
      <c r="O2" s="1683"/>
      <c r="P2" s="1683"/>
      <c r="Q2" s="1683"/>
      <c r="R2" s="1683"/>
      <c r="S2" s="1683"/>
      <c r="T2" s="1683"/>
      <c r="U2" s="1683"/>
      <c r="V2" s="1683"/>
      <c r="W2" s="1683"/>
      <c r="X2" s="108"/>
      <c r="Y2" s="108"/>
      <c r="Z2" s="108"/>
      <c r="AA2" s="108"/>
      <c r="AB2" s="108"/>
      <c r="AC2" s="108"/>
      <c r="AD2" s="108"/>
      <c r="AE2" s="108"/>
      <c r="AF2" s="108"/>
      <c r="AG2" s="108"/>
      <c r="AH2" s="108"/>
      <c r="AI2" s="108"/>
      <c r="AJ2" s="108"/>
      <c r="AK2" s="108"/>
      <c r="AL2" s="108"/>
      <c r="AM2" s="108"/>
      <c r="AN2" s="108"/>
      <c r="AO2" s="108"/>
      <c r="AP2" s="108"/>
      <c r="AQ2" s="108"/>
      <c r="AR2" s="108"/>
      <c r="AS2" s="108"/>
    </row>
    <row r="3" spans="3:45" ht="16" thickBot="1">
      <c r="C3" s="96" t="s">
        <v>1200</v>
      </c>
    </row>
    <row r="4" spans="3:45" ht="13" thickTop="1">
      <c r="AJ4" s="1521" t="str">
        <f ca="1">OFFSET(ad_first,OFFSET(ads_top,ROW(ads_xref)-1,1),0)</f>
        <v>Our Visual Basic course shows how to increase the "wow-factor" of your developed applications</v>
      </c>
      <c r="AK4" s="1507"/>
      <c r="AL4" s="1507"/>
      <c r="AM4" s="1562"/>
      <c r="AN4" s="1562"/>
      <c r="AO4" s="1562"/>
      <c r="AP4" s="1562"/>
      <c r="AQ4" s="1562"/>
      <c r="AR4" s="1562"/>
      <c r="AS4" s="1563"/>
    </row>
    <row r="5" spans="3:45">
      <c r="C5" s="1686" t="s">
        <v>273</v>
      </c>
      <c r="D5" s="1518"/>
      <c r="E5" s="1518"/>
      <c r="F5" s="1518"/>
      <c r="G5" s="1518"/>
      <c r="H5" s="1518"/>
      <c r="I5" s="1518"/>
      <c r="J5" s="1518"/>
      <c r="K5" s="1518"/>
      <c r="L5" s="1518"/>
      <c r="M5" s="1518"/>
      <c r="N5" s="1518"/>
      <c r="O5" s="1518"/>
      <c r="P5" s="1518"/>
      <c r="Q5" s="1518"/>
      <c r="R5" s="1518"/>
      <c r="S5" s="1518"/>
      <c r="T5" s="1518"/>
      <c r="U5" s="1518"/>
      <c r="V5" s="1518"/>
      <c r="W5" s="1518"/>
      <c r="X5" s="1518"/>
      <c r="Y5" s="1518"/>
      <c r="Z5" s="1518"/>
      <c r="AA5" s="1518"/>
      <c r="AB5" s="1518"/>
      <c r="AC5" s="1518"/>
      <c r="AD5" s="1518"/>
      <c r="AE5" s="1518"/>
      <c r="AF5" s="1518"/>
      <c r="AG5" s="1518"/>
      <c r="AH5" s="1518"/>
      <c r="AI5" s="1518"/>
      <c r="AJ5" s="1509"/>
      <c r="AK5" s="1510"/>
      <c r="AL5" s="1510"/>
      <c r="AM5" s="1564"/>
      <c r="AN5" s="1564"/>
      <c r="AO5" s="1564"/>
      <c r="AP5" s="1564"/>
      <c r="AQ5" s="1564"/>
      <c r="AR5" s="1564"/>
      <c r="AS5" s="1565"/>
    </row>
    <row r="6" spans="3:45">
      <c r="C6" s="1518"/>
      <c r="D6" s="1518"/>
      <c r="E6" s="1518"/>
      <c r="F6" s="1518"/>
      <c r="G6" s="1518"/>
      <c r="H6" s="1518"/>
      <c r="I6" s="1518"/>
      <c r="J6" s="1518"/>
      <c r="K6" s="1518"/>
      <c r="L6" s="1518"/>
      <c r="M6" s="1518"/>
      <c r="N6" s="1518"/>
      <c r="O6" s="1518"/>
      <c r="P6" s="1518"/>
      <c r="Q6" s="1518"/>
      <c r="R6" s="1518"/>
      <c r="S6" s="1518"/>
      <c r="T6" s="1518"/>
      <c r="U6" s="1518"/>
      <c r="V6" s="1518"/>
      <c r="W6" s="1518"/>
      <c r="X6" s="1518"/>
      <c r="Y6" s="1518"/>
      <c r="Z6" s="1518"/>
      <c r="AA6" s="1518"/>
      <c r="AB6" s="1518"/>
      <c r="AC6" s="1518"/>
      <c r="AD6" s="1518"/>
      <c r="AE6" s="1518"/>
      <c r="AF6" s="1518"/>
      <c r="AG6" s="1518"/>
      <c r="AH6" s="1518"/>
      <c r="AI6" s="1518"/>
      <c r="AJ6" s="1509"/>
      <c r="AK6" s="1510"/>
      <c r="AL6" s="1510"/>
      <c r="AM6" s="1564"/>
      <c r="AN6" s="1564"/>
      <c r="AO6" s="1564"/>
      <c r="AP6" s="1564"/>
      <c r="AQ6" s="1564"/>
      <c r="AR6" s="1564"/>
      <c r="AS6" s="1565"/>
    </row>
    <row r="7" spans="3:45">
      <c r="C7" s="1518"/>
      <c r="D7" s="1518"/>
      <c r="E7" s="1518"/>
      <c r="F7" s="1518"/>
      <c r="G7" s="1518"/>
      <c r="H7" s="1518"/>
      <c r="I7" s="1518"/>
      <c r="J7" s="1518"/>
      <c r="K7" s="1518"/>
      <c r="L7" s="1518"/>
      <c r="M7" s="1518"/>
      <c r="N7" s="1518"/>
      <c r="O7" s="1518"/>
      <c r="P7" s="1518"/>
      <c r="Q7" s="1518"/>
      <c r="R7" s="1518"/>
      <c r="S7" s="1518"/>
      <c r="T7" s="1518"/>
      <c r="U7" s="1518"/>
      <c r="V7" s="1518"/>
      <c r="W7" s="1518"/>
      <c r="X7" s="1518"/>
      <c r="Y7" s="1518"/>
      <c r="Z7" s="1518"/>
      <c r="AA7" s="1518"/>
      <c r="AB7" s="1518"/>
      <c r="AC7" s="1518"/>
      <c r="AD7" s="1518"/>
      <c r="AE7" s="1518"/>
      <c r="AF7" s="1518"/>
      <c r="AG7" s="1518"/>
      <c r="AH7" s="1518"/>
      <c r="AI7" s="1518"/>
      <c r="AJ7" s="1509"/>
      <c r="AK7" s="1510"/>
      <c r="AL7" s="1510"/>
      <c r="AM7" s="1564"/>
      <c r="AN7" s="1564"/>
      <c r="AO7" s="1564"/>
      <c r="AP7" s="1564"/>
      <c r="AQ7" s="1564"/>
      <c r="AR7" s="1564"/>
      <c r="AS7" s="1565"/>
    </row>
    <row r="8" spans="3:45" ht="7.5" customHeight="1" thickBot="1">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1512"/>
      <c r="AK8" s="1513"/>
      <c r="AL8" s="1513"/>
      <c r="AM8" s="1566"/>
      <c r="AN8" s="1566"/>
      <c r="AO8" s="1566"/>
      <c r="AP8" s="1566"/>
      <c r="AQ8" s="1566"/>
      <c r="AR8" s="1566"/>
      <c r="AS8" s="1567"/>
    </row>
    <row r="9" spans="3:45" ht="13" thickTop="1">
      <c r="C9" s="60" t="str">
        <f>"- The examples use only a small number of functions.  The average number of functions used in each example is approximately " &amp; TEXT(D17,"0")&amp;"."</f>
        <v>- The examples use only a small number of functions.  The average number of functions used in each example is approximately 9.</v>
      </c>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row>
    <row r="10" spans="3:45" ht="7.5" customHeight="1">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row>
    <row r="11" spans="3:45">
      <c r="C11" s="1685" t="str">
        <f>"- The total number of functions used in all the examples is " &amp; COUNTA(F17:AT17)&amp;".  That is about " &amp; TEXT(COUNTA(F17:AT17)/330,"0%")&amp;" of the functions available.  In other words seven of every eight functions available were not used in any of the examples."</f>
        <v>- The total number of functions used in all the examples is 40.  That is about 12% of the functions available.  In other words seven of every eight functions available were not used in any of the examples.</v>
      </c>
      <c r="D11" s="1685"/>
      <c r="E11" s="1685"/>
      <c r="F11" s="1685"/>
      <c r="G11" s="1685"/>
      <c r="H11" s="1685"/>
      <c r="I11" s="1685"/>
      <c r="J11" s="1685"/>
      <c r="K11" s="1685"/>
      <c r="L11" s="1685"/>
      <c r="M11" s="1685"/>
      <c r="N11" s="1685"/>
      <c r="O11" s="1685"/>
      <c r="P11" s="1685"/>
      <c r="Q11" s="1685"/>
      <c r="R11" s="1685"/>
      <c r="S11" s="1685"/>
      <c r="T11" s="1685"/>
      <c r="U11" s="1685"/>
      <c r="V11" s="1685"/>
      <c r="W11" s="1685"/>
      <c r="X11" s="1685"/>
      <c r="Y11" s="1685"/>
      <c r="Z11" s="1685"/>
      <c r="AA11" s="1685"/>
      <c r="AB11" s="1685"/>
      <c r="AC11" s="1685"/>
      <c r="AD11" s="1685"/>
      <c r="AE11" s="1685"/>
      <c r="AF11" s="1685"/>
      <c r="AG11" s="1685"/>
      <c r="AH11" s="1685"/>
      <c r="AI11" s="1685"/>
      <c r="AJ11" s="1685"/>
      <c r="AK11" s="1685"/>
      <c r="AL11" s="1685"/>
      <c r="AM11" s="1685"/>
      <c r="AN11" s="1685"/>
      <c r="AO11" s="1685"/>
      <c r="AP11" s="1685"/>
      <c r="AQ11" s="1685"/>
      <c r="AR11" s="1685"/>
      <c r="AS11" s="1685"/>
    </row>
    <row r="12" spans="3:45">
      <c r="C12" s="1685"/>
      <c r="D12" s="1685"/>
      <c r="E12" s="1685"/>
      <c r="F12" s="1685"/>
      <c r="G12" s="1685"/>
      <c r="H12" s="1685"/>
      <c r="I12" s="1685"/>
      <c r="J12" s="1685"/>
      <c r="K12" s="1685"/>
      <c r="L12" s="1685"/>
      <c r="M12" s="1685"/>
      <c r="N12" s="1685"/>
      <c r="O12" s="1685"/>
      <c r="P12" s="1685"/>
      <c r="Q12" s="1685"/>
      <c r="R12" s="1685"/>
      <c r="S12" s="1685"/>
      <c r="T12" s="1685"/>
      <c r="U12" s="1685"/>
      <c r="V12" s="1685"/>
      <c r="W12" s="1685"/>
      <c r="X12" s="1685"/>
      <c r="Y12" s="1685"/>
      <c r="Z12" s="1685"/>
      <c r="AA12" s="1685"/>
      <c r="AB12" s="1685"/>
      <c r="AC12" s="1685"/>
      <c r="AD12" s="1685"/>
      <c r="AE12" s="1685"/>
      <c r="AF12" s="1685"/>
      <c r="AG12" s="1685"/>
      <c r="AH12" s="1685"/>
      <c r="AI12" s="1685"/>
      <c r="AJ12" s="1685"/>
      <c r="AK12" s="1685"/>
      <c r="AL12" s="1685"/>
      <c r="AM12" s="1685"/>
      <c r="AN12" s="1685"/>
      <c r="AO12" s="1685"/>
      <c r="AP12" s="1685"/>
      <c r="AQ12" s="1685"/>
      <c r="AR12" s="1685"/>
      <c r="AS12" s="1685"/>
    </row>
    <row r="13" spans="3:45">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row>
    <row r="14" spans="3:45" ht="13">
      <c r="C14" s="615" t="s">
        <v>1104</v>
      </c>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row>
    <row r="15" spans="3:45" ht="6" customHeight="1">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row>
    <row r="16" spans="3:45" ht="13">
      <c r="C16" s="610"/>
      <c r="D16" s="611"/>
      <c r="E16" s="611"/>
      <c r="F16" s="1679" t="s">
        <v>613</v>
      </c>
      <c r="G16" s="1680"/>
      <c r="H16" s="1680"/>
      <c r="I16" s="1680"/>
      <c r="J16" s="1680"/>
      <c r="K16" s="1680"/>
      <c r="L16" s="1680"/>
      <c r="M16" s="1680"/>
      <c r="N16" s="1680"/>
      <c r="O16" s="1680"/>
      <c r="P16" s="1680"/>
      <c r="Q16" s="1680"/>
      <c r="R16" s="1680"/>
      <c r="S16" s="1680"/>
      <c r="T16" s="1680"/>
      <c r="U16" s="1680"/>
      <c r="V16" s="1680"/>
      <c r="W16" s="1680"/>
      <c r="X16" s="1680"/>
      <c r="Y16" s="1680"/>
      <c r="Z16" s="1680"/>
      <c r="AA16" s="1680"/>
      <c r="AB16" s="1680"/>
      <c r="AC16" s="1680"/>
      <c r="AD16" s="1680"/>
      <c r="AE16" s="1680"/>
      <c r="AF16" s="1680"/>
      <c r="AG16" s="1680"/>
      <c r="AH16" s="1680"/>
      <c r="AI16" s="1680"/>
      <c r="AJ16" s="1680"/>
      <c r="AK16" s="1680"/>
      <c r="AL16" s="1680"/>
      <c r="AM16" s="1680"/>
      <c r="AN16" s="1680"/>
      <c r="AO16" s="1680"/>
      <c r="AP16" s="1680"/>
      <c r="AQ16" s="1680"/>
      <c r="AR16" s="1680"/>
      <c r="AS16" s="1681"/>
    </row>
    <row r="17" spans="2:47" ht="90" customHeight="1">
      <c r="C17" s="616" t="s">
        <v>453</v>
      </c>
      <c r="D17" s="607">
        <f>AVERAGE(E18:E33)</f>
        <v>9.125</v>
      </c>
      <c r="E17" s="608" t="s">
        <v>454</v>
      </c>
      <c r="F17" s="1003" t="s">
        <v>1089</v>
      </c>
      <c r="G17" s="1003" t="s">
        <v>1543</v>
      </c>
      <c r="H17" s="107" t="s">
        <v>1567</v>
      </c>
      <c r="I17" s="1003" t="s">
        <v>1546</v>
      </c>
      <c r="J17" s="1003" t="s">
        <v>1563</v>
      </c>
      <c r="K17" s="107" t="s">
        <v>1560</v>
      </c>
      <c r="L17" s="107" t="s">
        <v>1545</v>
      </c>
      <c r="M17" s="1003" t="s">
        <v>1088</v>
      </c>
      <c r="N17" s="1003" t="s">
        <v>1552</v>
      </c>
      <c r="O17" s="107" t="s">
        <v>1548</v>
      </c>
      <c r="P17" s="107" t="s">
        <v>1565</v>
      </c>
      <c r="Q17" s="107" t="s">
        <v>1571</v>
      </c>
      <c r="R17" s="1003" t="s">
        <v>1502</v>
      </c>
      <c r="S17" s="107" t="s">
        <v>1559</v>
      </c>
      <c r="T17" s="1003" t="s">
        <v>1556</v>
      </c>
      <c r="U17" s="1003" t="s">
        <v>1551</v>
      </c>
      <c r="V17" s="1003" t="s">
        <v>1553</v>
      </c>
      <c r="W17" s="1003" t="s">
        <v>1542</v>
      </c>
      <c r="X17" s="107" t="s">
        <v>1569</v>
      </c>
      <c r="Y17" s="1003" t="s">
        <v>143</v>
      </c>
      <c r="Z17" s="1003" t="s">
        <v>1549</v>
      </c>
      <c r="AA17" s="1003" t="s">
        <v>1540</v>
      </c>
      <c r="AB17" s="1003" t="s">
        <v>1561</v>
      </c>
      <c r="AC17" s="1003" t="s">
        <v>1541</v>
      </c>
      <c r="AD17" s="107" t="s">
        <v>1557</v>
      </c>
      <c r="AE17" s="107" t="s">
        <v>1558</v>
      </c>
      <c r="AF17" s="107" t="s">
        <v>1555</v>
      </c>
      <c r="AG17" s="107" t="s">
        <v>1570</v>
      </c>
      <c r="AH17" s="1003" t="s">
        <v>1535</v>
      </c>
      <c r="AI17" s="1003" t="s">
        <v>1564</v>
      </c>
      <c r="AJ17" s="1003" t="s">
        <v>1562</v>
      </c>
      <c r="AK17" s="107" t="s">
        <v>176</v>
      </c>
      <c r="AL17" s="107" t="s">
        <v>1554</v>
      </c>
      <c r="AM17" s="107" t="s">
        <v>1568</v>
      </c>
      <c r="AN17" s="1003" t="s">
        <v>1547</v>
      </c>
      <c r="AO17" s="1003" t="s">
        <v>1544</v>
      </c>
      <c r="AP17" s="107" t="s">
        <v>1550</v>
      </c>
      <c r="AQ17" s="107" t="s">
        <v>1068</v>
      </c>
      <c r="AR17" s="1003" t="s">
        <v>1389</v>
      </c>
      <c r="AS17" s="107" t="s">
        <v>1566</v>
      </c>
      <c r="AT17" s="61"/>
      <c r="AU17" t="s">
        <v>1566</v>
      </c>
    </row>
    <row r="18" spans="2:47">
      <c r="B18" s="27"/>
      <c r="C18" s="733" t="str">
        <f>names_aggregating</f>
        <v>Aggregating</v>
      </c>
      <c r="D18" s="609" t="s">
        <v>533</v>
      </c>
      <c r="E18" s="609">
        <f t="shared" ref="E18:E33" si="0">COUNTIF(F18:AT18,"o")</f>
        <v>8</v>
      </c>
      <c r="F18" s="609"/>
      <c r="G18" s="609"/>
      <c r="H18" s="609"/>
      <c r="I18" s="609"/>
      <c r="J18" s="609"/>
      <c r="K18" s="609"/>
      <c r="L18" s="609" t="s">
        <v>1572</v>
      </c>
      <c r="M18" s="609"/>
      <c r="N18" s="609"/>
      <c r="O18" s="609"/>
      <c r="P18" s="609"/>
      <c r="Q18" s="609"/>
      <c r="R18" s="609" t="s">
        <v>1572</v>
      </c>
      <c r="S18" s="609"/>
      <c r="T18" s="609"/>
      <c r="U18" s="609"/>
      <c r="V18" s="609"/>
      <c r="W18" s="609" t="s">
        <v>1572</v>
      </c>
      <c r="X18" s="609"/>
      <c r="Y18" s="609"/>
      <c r="Z18" s="609"/>
      <c r="AA18" s="609" t="s">
        <v>1572</v>
      </c>
      <c r="AB18" s="609"/>
      <c r="AC18" s="609" t="s">
        <v>1572</v>
      </c>
      <c r="AD18" s="609"/>
      <c r="AE18" s="609"/>
      <c r="AF18" s="609"/>
      <c r="AG18" s="609"/>
      <c r="AH18" s="609" t="s">
        <v>1572</v>
      </c>
      <c r="AI18" s="609"/>
      <c r="AJ18" s="609"/>
      <c r="AK18" s="609"/>
      <c r="AL18" s="609" t="s">
        <v>1572</v>
      </c>
      <c r="AM18" s="609"/>
      <c r="AN18" s="609"/>
      <c r="AO18" s="609" t="s">
        <v>1572</v>
      </c>
      <c r="AP18" s="609"/>
      <c r="AQ18" s="609"/>
      <c r="AR18" s="731"/>
      <c r="AS18" s="612"/>
      <c r="AT18" s="62"/>
    </row>
    <row r="19" spans="2:47">
      <c r="B19" s="27"/>
      <c r="C19" s="733" t="str">
        <f>names_averaging</f>
        <v>Averaging</v>
      </c>
      <c r="D19" s="609" t="s">
        <v>534</v>
      </c>
      <c r="E19" s="609">
        <f t="shared" si="0"/>
        <v>6</v>
      </c>
      <c r="F19" s="609"/>
      <c r="G19" s="609" t="s">
        <v>1572</v>
      </c>
      <c r="H19" s="609"/>
      <c r="I19" s="609" t="s">
        <v>1572</v>
      </c>
      <c r="J19" s="609"/>
      <c r="K19" s="609"/>
      <c r="L19" s="609" t="s">
        <v>1572</v>
      </c>
      <c r="M19" s="609"/>
      <c r="N19" s="609"/>
      <c r="O19" s="609"/>
      <c r="P19" s="609"/>
      <c r="Q19" s="609"/>
      <c r="R19" s="609" t="s">
        <v>1572</v>
      </c>
      <c r="S19" s="609"/>
      <c r="T19" s="609"/>
      <c r="U19" s="609"/>
      <c r="V19" s="609"/>
      <c r="W19" s="609"/>
      <c r="X19" s="609"/>
      <c r="Y19" s="609"/>
      <c r="Z19" s="609"/>
      <c r="AA19" s="609"/>
      <c r="AB19" s="609"/>
      <c r="AC19" s="609"/>
      <c r="AD19" s="609"/>
      <c r="AE19" s="609"/>
      <c r="AF19" s="609"/>
      <c r="AG19" s="609"/>
      <c r="AH19" s="609" t="s">
        <v>1572</v>
      </c>
      <c r="AI19" s="609"/>
      <c r="AJ19" s="609"/>
      <c r="AK19" s="609"/>
      <c r="AL19" s="609" t="s">
        <v>1572</v>
      </c>
      <c r="AM19" s="609"/>
      <c r="AN19" s="609"/>
      <c r="AO19" s="609"/>
      <c r="AP19" s="609"/>
      <c r="AQ19" s="609"/>
      <c r="AR19" s="731"/>
      <c r="AS19" s="612"/>
      <c r="AT19" s="62"/>
    </row>
    <row r="20" spans="2:47">
      <c r="B20" s="27"/>
      <c r="C20" s="733" t="str">
        <f>names_charting</f>
        <v>Charting</v>
      </c>
      <c r="D20" s="609" t="s">
        <v>535</v>
      </c>
      <c r="E20" s="609">
        <f t="shared" si="0"/>
        <v>7</v>
      </c>
      <c r="F20" s="609"/>
      <c r="G20" s="609"/>
      <c r="H20" s="609"/>
      <c r="I20" s="609"/>
      <c r="J20" s="609"/>
      <c r="K20" s="609"/>
      <c r="L20" s="609" t="s">
        <v>1572</v>
      </c>
      <c r="M20" s="609"/>
      <c r="N20" s="609"/>
      <c r="O20" s="609"/>
      <c r="P20" s="609"/>
      <c r="Q20" s="609"/>
      <c r="R20" s="609"/>
      <c r="S20" s="609"/>
      <c r="T20" s="609"/>
      <c r="U20" s="609"/>
      <c r="V20" s="609"/>
      <c r="W20" s="609"/>
      <c r="X20" s="609"/>
      <c r="Y20" s="609"/>
      <c r="Z20" s="609" t="s">
        <v>1572</v>
      </c>
      <c r="AA20" s="609" t="s">
        <v>1572</v>
      </c>
      <c r="AB20" s="609"/>
      <c r="AC20" s="609" t="s">
        <v>1572</v>
      </c>
      <c r="AD20" s="609"/>
      <c r="AE20" s="609"/>
      <c r="AF20" s="609"/>
      <c r="AG20" s="609"/>
      <c r="AH20" s="609" t="s">
        <v>1572</v>
      </c>
      <c r="AI20" s="609"/>
      <c r="AJ20" s="609"/>
      <c r="AK20" s="609"/>
      <c r="AL20" s="609" t="s">
        <v>1572</v>
      </c>
      <c r="AM20" s="609"/>
      <c r="AN20" s="609"/>
      <c r="AO20" s="609"/>
      <c r="AP20" s="609" t="s">
        <v>1572</v>
      </c>
      <c r="AQ20" s="609"/>
      <c r="AR20" s="731"/>
      <c r="AS20" s="612"/>
      <c r="AT20" s="62"/>
    </row>
    <row r="21" spans="2:47">
      <c r="B21" s="27"/>
      <c r="C21" s="733" t="str">
        <f>names_highlighting</f>
        <v>Highlighting</v>
      </c>
      <c r="D21" s="609" t="s">
        <v>536</v>
      </c>
      <c r="E21" s="609">
        <f t="shared" si="0"/>
        <v>8</v>
      </c>
      <c r="F21" s="609"/>
      <c r="G21" s="609" t="s">
        <v>1572</v>
      </c>
      <c r="H21" s="609"/>
      <c r="I21" s="609"/>
      <c r="J21" s="609"/>
      <c r="K21" s="609"/>
      <c r="L21" s="609" t="s">
        <v>1572</v>
      </c>
      <c r="M21" s="609"/>
      <c r="N21" s="609" t="s">
        <v>1572</v>
      </c>
      <c r="O21" s="609"/>
      <c r="P21" s="609"/>
      <c r="Q21" s="609"/>
      <c r="R21" s="609"/>
      <c r="S21" s="609"/>
      <c r="T21" s="609"/>
      <c r="U21" s="609" t="s">
        <v>1572</v>
      </c>
      <c r="V21" s="609" t="s">
        <v>1572</v>
      </c>
      <c r="W21" s="609"/>
      <c r="X21" s="609"/>
      <c r="Y21" s="609"/>
      <c r="Z21" s="609"/>
      <c r="AA21" s="609"/>
      <c r="AB21" s="609"/>
      <c r="AC21" s="609"/>
      <c r="AD21" s="609"/>
      <c r="AE21" s="609"/>
      <c r="AF21" s="609" t="s">
        <v>1572</v>
      </c>
      <c r="AG21" s="609"/>
      <c r="AH21" s="609" t="s">
        <v>1572</v>
      </c>
      <c r="AI21" s="609"/>
      <c r="AJ21" s="609"/>
      <c r="AK21" s="609"/>
      <c r="AL21" s="609" t="s">
        <v>1572</v>
      </c>
      <c r="AM21" s="609"/>
      <c r="AN21" s="609"/>
      <c r="AO21" s="609"/>
      <c r="AP21" s="609"/>
      <c r="AQ21" s="609"/>
      <c r="AR21" s="731"/>
      <c r="AS21" s="612"/>
      <c r="AT21" s="62"/>
    </row>
    <row r="22" spans="2:47">
      <c r="B22" s="27"/>
      <c r="C22" s="733" t="str">
        <f>names_filtering</f>
        <v>Filtering</v>
      </c>
      <c r="D22" s="609" t="s">
        <v>537</v>
      </c>
      <c r="E22" s="609">
        <f t="shared" si="0"/>
        <v>9</v>
      </c>
      <c r="F22" s="609"/>
      <c r="G22" s="609" t="s">
        <v>1572</v>
      </c>
      <c r="H22" s="609"/>
      <c r="I22" s="609"/>
      <c r="J22" s="609"/>
      <c r="K22" s="609"/>
      <c r="L22" s="609"/>
      <c r="M22" s="609"/>
      <c r="N22" s="609"/>
      <c r="O22" s="609"/>
      <c r="P22" s="609"/>
      <c r="Q22" s="609"/>
      <c r="R22" s="609" t="s">
        <v>1572</v>
      </c>
      <c r="S22" s="609"/>
      <c r="T22" s="609" t="s">
        <v>1572</v>
      </c>
      <c r="U22" s="609"/>
      <c r="V22" s="609"/>
      <c r="W22" s="609"/>
      <c r="X22" s="609"/>
      <c r="Y22" s="609"/>
      <c r="Z22" s="609" t="s">
        <v>1572</v>
      </c>
      <c r="AA22" s="609" t="s">
        <v>1572</v>
      </c>
      <c r="AB22" s="609"/>
      <c r="AC22" s="609" t="s">
        <v>1572</v>
      </c>
      <c r="AD22" s="609"/>
      <c r="AE22" s="609"/>
      <c r="AF22" s="609"/>
      <c r="AG22" s="609"/>
      <c r="AH22" s="609" t="s">
        <v>1572</v>
      </c>
      <c r="AI22" s="609"/>
      <c r="AJ22" s="609"/>
      <c r="AK22" s="609"/>
      <c r="AL22" s="609" t="s">
        <v>1572</v>
      </c>
      <c r="AM22" s="609"/>
      <c r="AN22" s="609" t="s">
        <v>1572</v>
      </c>
      <c r="AO22" s="609"/>
      <c r="AP22" s="609"/>
      <c r="AQ22" s="609"/>
      <c r="AR22" s="731"/>
      <c r="AS22" s="612"/>
      <c r="AT22" s="62"/>
    </row>
    <row r="23" spans="2:47">
      <c r="B23" s="27"/>
      <c r="C23" s="733" t="str">
        <f>names_interpolating</f>
        <v>Interpolating</v>
      </c>
      <c r="D23" s="609" t="s">
        <v>539</v>
      </c>
      <c r="E23" s="609">
        <f t="shared" si="0"/>
        <v>9</v>
      </c>
      <c r="F23" s="609"/>
      <c r="G23" s="609"/>
      <c r="H23" s="609"/>
      <c r="I23" s="609"/>
      <c r="J23" s="609"/>
      <c r="K23" s="609"/>
      <c r="L23" s="609"/>
      <c r="M23" s="609"/>
      <c r="N23" s="609"/>
      <c r="O23" s="609"/>
      <c r="P23" s="609"/>
      <c r="Q23" s="609"/>
      <c r="R23" s="609"/>
      <c r="S23" s="609" t="s">
        <v>1572</v>
      </c>
      <c r="T23" s="609"/>
      <c r="U23" s="609"/>
      <c r="V23" s="609"/>
      <c r="W23" s="609"/>
      <c r="X23" s="609"/>
      <c r="Y23" s="609" t="s">
        <v>1572</v>
      </c>
      <c r="Z23" s="609" t="s">
        <v>1572</v>
      </c>
      <c r="AA23" s="609"/>
      <c r="AB23" s="609"/>
      <c r="AC23" s="609"/>
      <c r="AD23" s="609" t="s">
        <v>1572</v>
      </c>
      <c r="AE23" s="609" t="s">
        <v>1572</v>
      </c>
      <c r="AF23" s="609"/>
      <c r="AG23" s="609"/>
      <c r="AH23" s="609" t="s">
        <v>1572</v>
      </c>
      <c r="AI23" s="609"/>
      <c r="AJ23" s="609"/>
      <c r="AK23" s="609"/>
      <c r="AL23" s="609" t="s">
        <v>1572</v>
      </c>
      <c r="AM23" s="609"/>
      <c r="AN23" s="609"/>
      <c r="AO23" s="609"/>
      <c r="AP23" s="609" t="s">
        <v>1572</v>
      </c>
      <c r="AQ23" s="609" t="s">
        <v>1572</v>
      </c>
      <c r="AR23" s="731"/>
      <c r="AS23" s="612"/>
      <c r="AT23" s="62"/>
    </row>
    <row r="24" spans="2:47">
      <c r="B24" s="27"/>
      <c r="C24" s="733" t="str">
        <f>names_looking_up</f>
        <v>Looking up</v>
      </c>
      <c r="D24" s="609" t="s">
        <v>540</v>
      </c>
      <c r="E24" s="609">
        <f t="shared" si="0"/>
        <v>10</v>
      </c>
      <c r="F24" s="609"/>
      <c r="G24" s="609" t="s">
        <v>1572</v>
      </c>
      <c r="H24" s="609" t="s">
        <v>1572</v>
      </c>
      <c r="I24" s="609"/>
      <c r="J24" s="609"/>
      <c r="K24" s="609"/>
      <c r="L24" s="609" t="s">
        <v>1572</v>
      </c>
      <c r="M24" s="609"/>
      <c r="N24" s="609"/>
      <c r="O24" s="609"/>
      <c r="P24" s="609"/>
      <c r="Q24" s="609"/>
      <c r="R24" s="609"/>
      <c r="S24" s="609"/>
      <c r="T24" s="609"/>
      <c r="U24" s="609"/>
      <c r="V24" s="609"/>
      <c r="W24" s="609"/>
      <c r="X24" s="609"/>
      <c r="Y24" s="609"/>
      <c r="Z24" s="609" t="s">
        <v>1572</v>
      </c>
      <c r="AA24" s="609" t="s">
        <v>1572</v>
      </c>
      <c r="AB24" s="609"/>
      <c r="AC24" s="609" t="s">
        <v>1572</v>
      </c>
      <c r="AD24" s="609"/>
      <c r="AE24" s="609"/>
      <c r="AF24" s="609"/>
      <c r="AG24" s="609"/>
      <c r="AH24" s="609" t="s">
        <v>1572</v>
      </c>
      <c r="AI24" s="609"/>
      <c r="AJ24" s="609"/>
      <c r="AK24" s="609"/>
      <c r="AL24" s="609" t="s">
        <v>1572</v>
      </c>
      <c r="AM24" s="609"/>
      <c r="AN24" s="609"/>
      <c r="AO24" s="609" t="s">
        <v>1572</v>
      </c>
      <c r="AP24" s="609"/>
      <c r="AQ24" s="609"/>
      <c r="AR24" s="731" t="s">
        <v>1572</v>
      </c>
      <c r="AS24" s="612"/>
      <c r="AT24" s="62"/>
    </row>
    <row r="25" spans="2:47">
      <c r="B25" s="27"/>
      <c r="C25" s="733" t="str">
        <f>names_prioritising</f>
        <v>Prioritising</v>
      </c>
      <c r="D25" s="609" t="s">
        <v>541</v>
      </c>
      <c r="E25" s="609">
        <f t="shared" si="0"/>
        <v>5</v>
      </c>
      <c r="F25" s="609"/>
      <c r="G25" s="609"/>
      <c r="H25" s="609"/>
      <c r="I25" s="609"/>
      <c r="J25" s="609"/>
      <c r="K25" s="609"/>
      <c r="L25" s="609"/>
      <c r="M25" s="609"/>
      <c r="N25" s="609"/>
      <c r="O25" s="609"/>
      <c r="P25" s="609"/>
      <c r="Q25" s="609"/>
      <c r="R25" s="609" t="s">
        <v>1572</v>
      </c>
      <c r="S25" s="609"/>
      <c r="T25" s="609"/>
      <c r="U25" s="609"/>
      <c r="V25" s="609"/>
      <c r="W25" s="609"/>
      <c r="X25" s="609"/>
      <c r="Y25" s="609"/>
      <c r="Z25" s="609"/>
      <c r="AA25" s="609"/>
      <c r="AB25" s="609"/>
      <c r="AC25" s="609" t="s">
        <v>1572</v>
      </c>
      <c r="AD25" s="609"/>
      <c r="AE25" s="609"/>
      <c r="AF25" s="609"/>
      <c r="AG25" s="609"/>
      <c r="AH25" s="609" t="s">
        <v>1572</v>
      </c>
      <c r="AI25" s="609"/>
      <c r="AJ25" s="609"/>
      <c r="AK25" s="609"/>
      <c r="AL25" s="609" t="s">
        <v>1572</v>
      </c>
      <c r="AM25" s="609"/>
      <c r="AN25" s="609" t="s">
        <v>1572</v>
      </c>
      <c r="AO25" s="609"/>
      <c r="AP25" s="609"/>
      <c r="AQ25" s="609"/>
      <c r="AR25" s="731"/>
      <c r="AS25" s="612"/>
      <c r="AT25" s="62"/>
    </row>
    <row r="26" spans="2:47">
      <c r="B26" s="27"/>
      <c r="C26" s="733" t="str">
        <f>names_ranking</f>
        <v>Ranking</v>
      </c>
      <c r="D26" s="609" t="s">
        <v>542</v>
      </c>
      <c r="E26" s="609">
        <f t="shared" si="0"/>
        <v>10</v>
      </c>
      <c r="F26" s="609"/>
      <c r="G26" s="609"/>
      <c r="H26" s="609"/>
      <c r="I26" s="609"/>
      <c r="J26" s="609" t="s">
        <v>1572</v>
      </c>
      <c r="K26" s="609" t="s">
        <v>1572</v>
      </c>
      <c r="L26" s="609"/>
      <c r="M26" s="609"/>
      <c r="N26" s="609"/>
      <c r="O26" s="609"/>
      <c r="P26" s="609"/>
      <c r="Q26" s="609"/>
      <c r="R26" s="609" t="s">
        <v>1572</v>
      </c>
      <c r="S26" s="609"/>
      <c r="T26" s="609"/>
      <c r="U26" s="609" t="s">
        <v>1572</v>
      </c>
      <c r="V26" s="609"/>
      <c r="W26" s="609"/>
      <c r="X26" s="609"/>
      <c r="Y26" s="609"/>
      <c r="Z26" s="609" t="s">
        <v>1572</v>
      </c>
      <c r="AA26" s="609"/>
      <c r="AB26" s="609" t="s">
        <v>1572</v>
      </c>
      <c r="AC26" s="609"/>
      <c r="AD26" s="609"/>
      <c r="AE26" s="609"/>
      <c r="AF26" s="609"/>
      <c r="AG26" s="609"/>
      <c r="AH26" s="609" t="s">
        <v>1572</v>
      </c>
      <c r="AI26" s="609"/>
      <c r="AJ26" s="609" t="s">
        <v>1572</v>
      </c>
      <c r="AK26" s="609"/>
      <c r="AL26" s="609" t="s">
        <v>1572</v>
      </c>
      <c r="AM26" s="609"/>
      <c r="AN26" s="609"/>
      <c r="AO26" s="609"/>
      <c r="AP26" s="609" t="s">
        <v>1572</v>
      </c>
      <c r="AQ26" s="609"/>
      <c r="AR26" s="731"/>
      <c r="AS26" s="612"/>
      <c r="AT26" s="62"/>
    </row>
    <row r="27" spans="2:47">
      <c r="B27" s="27"/>
      <c r="C27" s="733" t="str">
        <f>names_rounding</f>
        <v>Rounding</v>
      </c>
      <c r="D27" s="609" t="s">
        <v>543</v>
      </c>
      <c r="E27" s="609">
        <f t="shared" si="0"/>
        <v>4</v>
      </c>
      <c r="F27" s="609"/>
      <c r="G27" s="609"/>
      <c r="H27" s="609"/>
      <c r="I27" s="609"/>
      <c r="J27" s="609"/>
      <c r="K27" s="609"/>
      <c r="L27" s="609"/>
      <c r="M27" s="609"/>
      <c r="N27" s="609"/>
      <c r="O27" s="609"/>
      <c r="P27" s="609"/>
      <c r="Q27" s="609"/>
      <c r="R27" s="609" t="s">
        <v>1572</v>
      </c>
      <c r="S27" s="609"/>
      <c r="T27" s="609"/>
      <c r="U27" s="609"/>
      <c r="V27" s="609"/>
      <c r="W27" s="609"/>
      <c r="X27" s="609"/>
      <c r="Y27" s="609"/>
      <c r="Z27" s="609"/>
      <c r="AA27" s="609"/>
      <c r="AB27" s="609"/>
      <c r="AC27" s="609"/>
      <c r="AD27" s="609"/>
      <c r="AE27" s="609"/>
      <c r="AF27" s="609"/>
      <c r="AG27" s="609"/>
      <c r="AH27" s="609" t="s">
        <v>1572</v>
      </c>
      <c r="AI27" s="609"/>
      <c r="AJ27" s="609"/>
      <c r="AK27" s="609" t="s">
        <v>1572</v>
      </c>
      <c r="AL27" s="609" t="s">
        <v>1572</v>
      </c>
      <c r="AM27" s="609"/>
      <c r="AN27" s="609"/>
      <c r="AO27" s="609"/>
      <c r="AP27" s="609"/>
      <c r="AQ27" s="609"/>
      <c r="AR27" s="731"/>
      <c r="AS27" s="612"/>
      <c r="AT27" s="62"/>
    </row>
    <row r="28" spans="2:47">
      <c r="B28" s="27"/>
      <c r="C28" s="733" t="str">
        <f>names_scenario_analysing</f>
        <v>Scenarios</v>
      </c>
      <c r="D28" s="609" t="s">
        <v>544</v>
      </c>
      <c r="E28" s="609">
        <f t="shared" si="0"/>
        <v>15</v>
      </c>
      <c r="F28" s="609" t="s">
        <v>1572</v>
      </c>
      <c r="G28" s="609" t="s">
        <v>1572</v>
      </c>
      <c r="H28" s="609"/>
      <c r="I28" s="609"/>
      <c r="J28" s="609"/>
      <c r="K28" s="609"/>
      <c r="L28" s="609" t="s">
        <v>1572</v>
      </c>
      <c r="M28" s="609" t="s">
        <v>1572</v>
      </c>
      <c r="N28" s="609"/>
      <c r="O28" s="609" t="s">
        <v>1572</v>
      </c>
      <c r="P28" s="609" t="s">
        <v>1572</v>
      </c>
      <c r="Q28" s="609"/>
      <c r="R28" s="609" t="s">
        <v>1572</v>
      </c>
      <c r="S28" s="609"/>
      <c r="T28" s="609"/>
      <c r="U28" s="609"/>
      <c r="V28" s="609"/>
      <c r="W28" s="609"/>
      <c r="X28" s="609"/>
      <c r="Y28" s="609"/>
      <c r="Z28" s="609" t="s">
        <v>1572</v>
      </c>
      <c r="AA28" s="609" t="s">
        <v>1572</v>
      </c>
      <c r="AB28" s="609"/>
      <c r="AC28" s="609" t="s">
        <v>1572</v>
      </c>
      <c r="AD28" s="609"/>
      <c r="AE28" s="609"/>
      <c r="AF28" s="609"/>
      <c r="AG28" s="609"/>
      <c r="AH28" s="609" t="s">
        <v>1572</v>
      </c>
      <c r="AI28" s="609" t="s">
        <v>1572</v>
      </c>
      <c r="AJ28" s="609"/>
      <c r="AK28" s="609"/>
      <c r="AL28" s="609" t="s">
        <v>1572</v>
      </c>
      <c r="AM28" s="609"/>
      <c r="AN28" s="609" t="s">
        <v>1572</v>
      </c>
      <c r="AO28" s="609"/>
      <c r="AP28" s="609"/>
      <c r="AQ28" s="609"/>
      <c r="AR28" s="731"/>
      <c r="AS28" s="612" t="s">
        <v>1572</v>
      </c>
      <c r="AT28" s="62"/>
    </row>
    <row r="29" spans="2:47">
      <c r="B29" s="27"/>
      <c r="C29" s="733" t="str">
        <f>names_scheduling</f>
        <v>Scheduling</v>
      </c>
      <c r="D29" s="609" t="s">
        <v>148</v>
      </c>
      <c r="E29" s="609">
        <f t="shared" si="0"/>
        <v>12</v>
      </c>
      <c r="F29" s="609"/>
      <c r="G29" s="609" t="s">
        <v>1572</v>
      </c>
      <c r="H29" s="609"/>
      <c r="I29" s="609"/>
      <c r="J29" s="609"/>
      <c r="K29" s="609"/>
      <c r="L29" s="609"/>
      <c r="M29" s="609"/>
      <c r="N29" s="609"/>
      <c r="O29" s="609"/>
      <c r="P29" s="609"/>
      <c r="Q29" s="609"/>
      <c r="R29" s="609" t="s">
        <v>1572</v>
      </c>
      <c r="S29" s="609"/>
      <c r="T29" s="609" t="s">
        <v>1572</v>
      </c>
      <c r="U29" s="609"/>
      <c r="V29" s="609" t="s">
        <v>1572</v>
      </c>
      <c r="W29" s="609" t="s">
        <v>1572</v>
      </c>
      <c r="X29" s="609"/>
      <c r="Y29" s="609"/>
      <c r="Z29" s="609" t="s">
        <v>1572</v>
      </c>
      <c r="AA29" s="609" t="s">
        <v>1572</v>
      </c>
      <c r="AB29" s="609"/>
      <c r="AC29" s="609"/>
      <c r="AD29" s="609"/>
      <c r="AE29" s="609"/>
      <c r="AF29" s="609" t="s">
        <v>1572</v>
      </c>
      <c r="AG29" s="609"/>
      <c r="AH29" s="609" t="s">
        <v>1572</v>
      </c>
      <c r="AI29" s="609" t="s">
        <v>1572</v>
      </c>
      <c r="AJ29" s="609"/>
      <c r="AK29" s="609"/>
      <c r="AL29" s="609" t="s">
        <v>1572</v>
      </c>
      <c r="AM29" s="609"/>
      <c r="AN29" s="609"/>
      <c r="AO29" s="609"/>
      <c r="AP29" s="609"/>
      <c r="AQ29" s="609"/>
      <c r="AR29" s="731" t="s">
        <v>1572</v>
      </c>
      <c r="AS29" s="612"/>
      <c r="AT29" s="62"/>
    </row>
    <row r="30" spans="2:47">
      <c r="B30" s="27"/>
      <c r="C30" s="733" t="str">
        <f>names_seasonalising</f>
        <v>Seasonalising</v>
      </c>
      <c r="D30" s="609" t="s">
        <v>545</v>
      </c>
      <c r="E30" s="609">
        <f t="shared" si="0"/>
        <v>9</v>
      </c>
      <c r="F30" s="609"/>
      <c r="G30" s="609"/>
      <c r="H30" s="609"/>
      <c r="I30" s="609" t="s">
        <v>1572</v>
      </c>
      <c r="J30" s="609" t="s">
        <v>1572</v>
      </c>
      <c r="K30" s="609"/>
      <c r="L30" s="609" t="s">
        <v>1572</v>
      </c>
      <c r="M30" s="609"/>
      <c r="N30" s="609"/>
      <c r="O30" s="609"/>
      <c r="P30" s="609"/>
      <c r="Q30" s="609"/>
      <c r="R30" s="609" t="s">
        <v>1572</v>
      </c>
      <c r="S30" s="609"/>
      <c r="T30" s="609"/>
      <c r="U30" s="609"/>
      <c r="V30" s="609"/>
      <c r="W30" s="609"/>
      <c r="X30" s="609"/>
      <c r="Y30" s="609"/>
      <c r="Z30" s="609"/>
      <c r="AA30" s="609"/>
      <c r="AB30" s="609"/>
      <c r="AC30" s="609"/>
      <c r="AD30" s="609"/>
      <c r="AE30" s="609"/>
      <c r="AF30" s="609"/>
      <c r="AG30" s="609"/>
      <c r="AH30" s="609" t="s">
        <v>1572</v>
      </c>
      <c r="AI30" s="609"/>
      <c r="AJ30" s="609"/>
      <c r="AK30" s="609"/>
      <c r="AL30" s="609" t="s">
        <v>1572</v>
      </c>
      <c r="AM30" s="609"/>
      <c r="AN30" s="609" t="s">
        <v>1572</v>
      </c>
      <c r="AO30" s="609"/>
      <c r="AP30" s="609" t="s">
        <v>1572</v>
      </c>
      <c r="AQ30" s="609" t="s">
        <v>1572</v>
      </c>
      <c r="AR30" s="731"/>
      <c r="AS30" s="612"/>
      <c r="AT30" s="62"/>
    </row>
    <row r="31" spans="2:47">
      <c r="B31" s="27"/>
      <c r="C31" s="733" t="str">
        <f>names_sensitising_value</f>
        <v>Sensitivities</v>
      </c>
      <c r="D31" s="609" t="s">
        <v>943</v>
      </c>
      <c r="E31" s="609">
        <f t="shared" si="0"/>
        <v>12</v>
      </c>
      <c r="F31" s="609" t="s">
        <v>1572</v>
      </c>
      <c r="G31" s="609" t="s">
        <v>1572</v>
      </c>
      <c r="H31" s="609"/>
      <c r="I31" s="609"/>
      <c r="J31" s="609" t="s">
        <v>1572</v>
      </c>
      <c r="K31" s="609"/>
      <c r="L31" s="609"/>
      <c r="M31" s="609"/>
      <c r="N31" s="609"/>
      <c r="O31" s="609" t="s">
        <v>1572</v>
      </c>
      <c r="P31" s="609" t="s">
        <v>1572</v>
      </c>
      <c r="Q31" s="609"/>
      <c r="R31" s="609" t="s">
        <v>1572</v>
      </c>
      <c r="S31" s="609"/>
      <c r="T31" s="609"/>
      <c r="U31" s="609" t="s">
        <v>1572</v>
      </c>
      <c r="V31" s="609"/>
      <c r="W31" s="609"/>
      <c r="X31" s="609"/>
      <c r="Y31" s="609"/>
      <c r="Z31" s="609" t="s">
        <v>1572</v>
      </c>
      <c r="AA31" s="609"/>
      <c r="AB31" s="609"/>
      <c r="AC31" s="609"/>
      <c r="AD31" s="609"/>
      <c r="AE31" s="609"/>
      <c r="AF31" s="609"/>
      <c r="AG31" s="609"/>
      <c r="AH31" s="609" t="s">
        <v>1572</v>
      </c>
      <c r="AI31" s="609"/>
      <c r="AJ31" s="609"/>
      <c r="AK31" s="609"/>
      <c r="AL31" s="609" t="s">
        <v>1572</v>
      </c>
      <c r="AM31" s="609"/>
      <c r="AN31" s="609" t="s">
        <v>1572</v>
      </c>
      <c r="AO31" s="609"/>
      <c r="AP31" s="609"/>
      <c r="AQ31" s="609"/>
      <c r="AR31" s="731"/>
      <c r="AS31" s="612" t="s">
        <v>1572</v>
      </c>
      <c r="AT31" s="62"/>
    </row>
    <row r="32" spans="2:47">
      <c r="B32" s="27"/>
      <c r="C32" s="733" t="str">
        <f>names_ratesensitising</f>
        <v>Interest rates</v>
      </c>
      <c r="D32" s="609" t="s">
        <v>538</v>
      </c>
      <c r="E32" s="609">
        <f t="shared" si="0"/>
        <v>10</v>
      </c>
      <c r="F32" s="609"/>
      <c r="G32" s="609"/>
      <c r="H32" s="609" t="s">
        <v>1572</v>
      </c>
      <c r="I32" s="609"/>
      <c r="J32" s="609"/>
      <c r="K32" s="609"/>
      <c r="L32" s="609"/>
      <c r="M32" s="609"/>
      <c r="N32" s="609"/>
      <c r="O32" s="609" t="s">
        <v>1572</v>
      </c>
      <c r="P32" s="609"/>
      <c r="Q32" s="609"/>
      <c r="R32" s="609" t="s">
        <v>1572</v>
      </c>
      <c r="S32" s="609"/>
      <c r="T32" s="609"/>
      <c r="U32" s="609"/>
      <c r="V32" s="609"/>
      <c r="W32" s="609"/>
      <c r="X32" s="609"/>
      <c r="Y32" s="609"/>
      <c r="Z32" s="609" t="s">
        <v>1572</v>
      </c>
      <c r="AA32" s="609" t="s">
        <v>1572</v>
      </c>
      <c r="AB32" s="609"/>
      <c r="AC32" s="609"/>
      <c r="AD32" s="609"/>
      <c r="AE32" s="609"/>
      <c r="AF32" s="609" t="s">
        <v>1572</v>
      </c>
      <c r="AG32" s="609"/>
      <c r="AH32" s="609" t="s">
        <v>1572</v>
      </c>
      <c r="AI32" s="609"/>
      <c r="AJ32" s="609" t="s">
        <v>1572</v>
      </c>
      <c r="AK32" s="609"/>
      <c r="AL32" s="609" t="s">
        <v>1572</v>
      </c>
      <c r="AM32" s="609"/>
      <c r="AN32" s="609" t="s">
        <v>1572</v>
      </c>
      <c r="AO32" s="609"/>
      <c r="AP32" s="609"/>
      <c r="AQ32" s="609"/>
      <c r="AR32" s="731"/>
      <c r="AS32" s="612"/>
      <c r="AT32" s="62"/>
    </row>
    <row r="33" spans="2:46">
      <c r="B33" s="27"/>
      <c r="C33" s="734" t="str">
        <f>names_valuing_option</f>
        <v>Valuing contingency</v>
      </c>
      <c r="D33" s="613" t="s">
        <v>944</v>
      </c>
      <c r="E33" s="613">
        <f t="shared" si="0"/>
        <v>12</v>
      </c>
      <c r="F33" s="613"/>
      <c r="G33" s="613"/>
      <c r="H33" s="613"/>
      <c r="I33" s="613"/>
      <c r="J33" s="613" t="s">
        <v>1572</v>
      </c>
      <c r="K33" s="613"/>
      <c r="L33" s="613"/>
      <c r="M33" s="613"/>
      <c r="N33" s="613"/>
      <c r="O33" s="613" t="s">
        <v>1572</v>
      </c>
      <c r="P33" s="613"/>
      <c r="Q33" s="613" t="s">
        <v>1572</v>
      </c>
      <c r="R33" s="613" t="s">
        <v>1572</v>
      </c>
      <c r="S33" s="613"/>
      <c r="T33" s="613"/>
      <c r="U33" s="613"/>
      <c r="V33" s="613"/>
      <c r="W33" s="613"/>
      <c r="X33" s="613" t="s">
        <v>1572</v>
      </c>
      <c r="Y33" s="613"/>
      <c r="Z33" s="613" t="s">
        <v>1572</v>
      </c>
      <c r="AA33" s="613" t="s">
        <v>1572</v>
      </c>
      <c r="AB33" s="613"/>
      <c r="AC33" s="613"/>
      <c r="AD33" s="613"/>
      <c r="AE33" s="613"/>
      <c r="AF33" s="613"/>
      <c r="AG33" s="613" t="s">
        <v>1572</v>
      </c>
      <c r="AH33" s="613" t="s">
        <v>1572</v>
      </c>
      <c r="AI33" s="613"/>
      <c r="AJ33" s="613"/>
      <c r="AK33" s="613"/>
      <c r="AL33" s="613" t="s">
        <v>1572</v>
      </c>
      <c r="AM33" s="613" t="s">
        <v>1572</v>
      </c>
      <c r="AN33" s="613" t="s">
        <v>1572</v>
      </c>
      <c r="AO33" s="613"/>
      <c r="AP33" s="613"/>
      <c r="AQ33" s="613"/>
      <c r="AR33" s="732"/>
      <c r="AS33" s="614"/>
      <c r="AT33" s="62"/>
    </row>
    <row r="34" spans="2:46"/>
    <row r="35" spans="2:46">
      <c r="C35" s="1684" t="s">
        <v>946</v>
      </c>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1544"/>
      <c r="Z35" s="1544"/>
      <c r="AA35" s="1544"/>
      <c r="AB35" s="1544"/>
      <c r="AC35" s="1544"/>
      <c r="AD35" s="1544"/>
      <c r="AE35" s="1544"/>
      <c r="AF35" s="1544"/>
      <c r="AG35" s="1544"/>
      <c r="AH35" s="1544"/>
      <c r="AI35" s="1544"/>
      <c r="AJ35" s="1544"/>
      <c r="AK35" s="1544"/>
      <c r="AL35" s="1544"/>
      <c r="AM35" s="1544"/>
      <c r="AN35" s="1544"/>
      <c r="AO35" s="1544"/>
      <c r="AP35" s="1544"/>
      <c r="AQ35" s="1544"/>
      <c r="AR35" s="1544"/>
      <c r="AS35" s="1544"/>
    </row>
    <row r="36" spans="2:46">
      <c r="C36" s="1544"/>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1544"/>
      <c r="Z36" s="1544"/>
      <c r="AA36" s="1544"/>
      <c r="AB36" s="1544"/>
      <c r="AC36" s="1544"/>
      <c r="AD36" s="1544"/>
      <c r="AE36" s="1544"/>
      <c r="AF36" s="1544"/>
      <c r="AG36" s="1544"/>
      <c r="AH36" s="1544"/>
      <c r="AI36" s="1544"/>
      <c r="AJ36" s="1544"/>
      <c r="AK36" s="1544"/>
      <c r="AL36" s="1544"/>
      <c r="AM36" s="1544"/>
      <c r="AN36" s="1544"/>
      <c r="AO36" s="1544"/>
      <c r="AP36" s="1544"/>
      <c r="AQ36" s="1544"/>
      <c r="AR36" s="1544"/>
      <c r="AS36" s="1544"/>
    </row>
    <row r="37" spans="2:46">
      <c r="C37" s="1544"/>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1544"/>
      <c r="Z37" s="1544"/>
      <c r="AA37" s="1544"/>
      <c r="AB37" s="1544"/>
      <c r="AC37" s="1544"/>
      <c r="AD37" s="1544"/>
      <c r="AE37" s="1544"/>
      <c r="AF37" s="1544"/>
      <c r="AG37" s="1544"/>
      <c r="AH37" s="1544"/>
      <c r="AI37" s="1544"/>
      <c r="AJ37" s="1544"/>
      <c r="AK37" s="1544"/>
      <c r="AL37" s="1544"/>
      <c r="AM37" s="1544"/>
      <c r="AN37" s="1544"/>
      <c r="AO37" s="1544"/>
      <c r="AP37" s="1544"/>
      <c r="AQ37" s="1544"/>
      <c r="AR37" s="1544"/>
      <c r="AS37" s="1544"/>
    </row>
    <row r="38" spans="2:46">
      <c r="C38" s="1544"/>
      <c r="D38" s="1544"/>
      <c r="E38" s="1544"/>
      <c r="F38" s="1544"/>
      <c r="G38" s="1544"/>
      <c r="H38" s="1544"/>
      <c r="I38" s="1544"/>
      <c r="J38" s="1544"/>
      <c r="K38" s="1544"/>
      <c r="L38" s="1544"/>
      <c r="M38" s="1544"/>
      <c r="N38" s="1544"/>
      <c r="O38" s="1544"/>
      <c r="P38" s="1544"/>
      <c r="Q38" s="1544"/>
      <c r="R38" s="1544"/>
      <c r="S38" s="1544"/>
      <c r="T38" s="1544"/>
      <c r="U38" s="1544"/>
      <c r="V38" s="1544"/>
      <c r="W38" s="1544"/>
      <c r="X38" s="1544"/>
      <c r="Y38" s="1544"/>
      <c r="Z38" s="1544"/>
      <c r="AA38" s="1544"/>
      <c r="AB38" s="1544"/>
      <c r="AC38" s="1544"/>
      <c r="AD38" s="1544"/>
      <c r="AE38" s="1544"/>
      <c r="AF38" s="1544"/>
      <c r="AG38" s="1544"/>
      <c r="AH38" s="1544"/>
      <c r="AI38" s="1544"/>
      <c r="AJ38" s="1544"/>
      <c r="AK38" s="1544"/>
      <c r="AL38" s="1544"/>
      <c r="AM38" s="1544"/>
      <c r="AN38" s="1544"/>
      <c r="AO38" s="1544"/>
      <c r="AP38" s="1544"/>
      <c r="AQ38" s="1544"/>
      <c r="AR38" s="1544"/>
      <c r="AS38" s="1544"/>
    </row>
    <row r="39" spans="2:46">
      <c r="C39" s="1544"/>
      <c r="D39" s="1544"/>
      <c r="E39" s="1544"/>
      <c r="F39" s="1544"/>
      <c r="G39" s="1544"/>
      <c r="H39" s="1544"/>
      <c r="I39" s="1544"/>
      <c r="J39" s="1544"/>
      <c r="K39" s="1544"/>
      <c r="L39" s="1544"/>
      <c r="M39" s="1544"/>
      <c r="N39" s="1544"/>
      <c r="O39" s="1544"/>
      <c r="P39" s="1544"/>
      <c r="Q39" s="1544"/>
      <c r="R39" s="1544"/>
      <c r="S39" s="1544"/>
      <c r="T39" s="1544"/>
      <c r="U39" s="1544"/>
      <c r="V39" s="1544"/>
      <c r="W39" s="1544"/>
      <c r="X39" s="1544"/>
      <c r="Y39" s="1544"/>
      <c r="Z39" s="1544"/>
      <c r="AA39" s="1544"/>
      <c r="AB39" s="1544"/>
      <c r="AC39" s="1544"/>
      <c r="AD39" s="1544"/>
      <c r="AE39" s="1544"/>
      <c r="AF39" s="1544"/>
      <c r="AG39" s="1544"/>
      <c r="AH39" s="1544"/>
      <c r="AI39" s="1544"/>
      <c r="AJ39" s="1544"/>
      <c r="AK39" s="1544"/>
      <c r="AL39" s="1544"/>
      <c r="AM39" s="1544"/>
      <c r="AN39" s="1544"/>
      <c r="AO39" s="1544"/>
      <c r="AP39" s="1544"/>
      <c r="AQ39" s="1544"/>
      <c r="AR39" s="1544"/>
      <c r="AS39" s="1544"/>
    </row>
    <row r="40" spans="2:46">
      <c r="C40" s="1544"/>
      <c r="D40" s="1544"/>
      <c r="E40" s="1544"/>
      <c r="F40" s="1544"/>
      <c r="G40" s="1544"/>
      <c r="H40" s="1544"/>
      <c r="I40" s="1544"/>
      <c r="J40" s="1544"/>
      <c r="K40" s="1544"/>
      <c r="L40" s="1544"/>
      <c r="M40" s="1544"/>
      <c r="N40" s="1544"/>
      <c r="O40" s="1544"/>
      <c r="P40" s="1544"/>
      <c r="Q40" s="1544"/>
      <c r="R40" s="1544"/>
      <c r="S40" s="1544"/>
      <c r="T40" s="1544"/>
      <c r="U40" s="1544"/>
      <c r="V40" s="1544"/>
      <c r="W40" s="1544"/>
      <c r="X40" s="1544"/>
      <c r="Y40" s="1544"/>
      <c r="Z40" s="1544"/>
      <c r="AA40" s="1544"/>
      <c r="AB40" s="1544"/>
      <c r="AC40" s="1544"/>
      <c r="AD40" s="1544"/>
      <c r="AE40" s="1544"/>
      <c r="AF40" s="1544"/>
      <c r="AG40" s="1544"/>
      <c r="AH40" s="1544"/>
      <c r="AI40" s="1544"/>
      <c r="AJ40" s="1544"/>
      <c r="AK40" s="1544"/>
      <c r="AL40" s="1544"/>
      <c r="AM40" s="1544"/>
      <c r="AN40" s="1544"/>
      <c r="AO40" s="1544"/>
      <c r="AP40" s="1544"/>
      <c r="AQ40" s="1544"/>
      <c r="AR40" s="1544"/>
      <c r="AS40" s="1544"/>
    </row>
    <row r="41" spans="2:46">
      <c r="C41" s="1544"/>
      <c r="D41" s="1544"/>
      <c r="E41" s="1544"/>
      <c r="F41" s="1544"/>
      <c r="G41" s="1544"/>
      <c r="H41" s="1544"/>
      <c r="I41" s="1544"/>
      <c r="J41" s="1544"/>
      <c r="K41" s="1544"/>
      <c r="L41" s="1544"/>
      <c r="M41" s="1544"/>
      <c r="N41" s="1544"/>
      <c r="O41" s="1544"/>
      <c r="P41" s="1544"/>
      <c r="Q41" s="1544"/>
      <c r="R41" s="1544"/>
      <c r="S41" s="1544"/>
      <c r="T41" s="1544"/>
      <c r="U41" s="1544"/>
      <c r="V41" s="1544"/>
      <c r="W41" s="1544"/>
      <c r="X41" s="1544"/>
      <c r="Y41" s="1544"/>
      <c r="Z41" s="1544"/>
      <c r="AA41" s="1544"/>
      <c r="AB41" s="1544"/>
      <c r="AC41" s="1544"/>
      <c r="AD41" s="1544"/>
      <c r="AE41" s="1544"/>
      <c r="AF41" s="1544"/>
      <c r="AG41" s="1544"/>
      <c r="AH41" s="1544"/>
      <c r="AI41" s="1544"/>
      <c r="AJ41" s="1544"/>
      <c r="AK41" s="1544"/>
      <c r="AL41" s="1544"/>
      <c r="AM41" s="1544"/>
      <c r="AN41" s="1544"/>
      <c r="AO41" s="1544"/>
      <c r="AP41" s="1544"/>
      <c r="AQ41" s="1544"/>
      <c r="AR41" s="1544"/>
      <c r="AS41" s="1544"/>
    </row>
    <row r="42" spans="2:46">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1544"/>
      <c r="AJ42" s="1544"/>
      <c r="AK42" s="1544"/>
      <c r="AL42" s="1544"/>
      <c r="AM42" s="1544"/>
      <c r="AN42" s="1544"/>
      <c r="AO42" s="1544"/>
      <c r="AP42" s="1544"/>
      <c r="AQ42" s="1544"/>
      <c r="AR42" s="1544"/>
      <c r="AS42" s="1544"/>
    </row>
    <row r="43" spans="2:46"/>
    <row r="44" spans="2:46">
      <c r="C44" s="28" t="str">
        <f>back_to_index</f>
        <v>Back to contents</v>
      </c>
      <c r="M44" s="1682" t="str">
        <f>page_prefix &amp; page_xref&amp; page_suffix</f>
        <v>- Page 20 -</v>
      </c>
      <c r="N44" s="1682"/>
      <c r="O44" s="1682"/>
      <c r="P44" s="1682"/>
      <c r="Q44" s="1682"/>
      <c r="R44" s="1682"/>
      <c r="S44" s="1682"/>
      <c r="T44" s="1682"/>
      <c r="U44" s="1682"/>
      <c r="V44" s="1682"/>
      <c r="W44" s="1682"/>
      <c r="X44" s="1682"/>
      <c r="Y44" s="1682"/>
      <c r="Z44" s="1682"/>
      <c r="AN44" s="1678" t="str">
        <f>back_to_top</f>
        <v>Back to top</v>
      </c>
      <c r="AO44" s="1518"/>
      <c r="AP44" s="1518"/>
      <c r="AQ44" s="1518"/>
      <c r="AR44" s="1518"/>
      <c r="AS44" s="1518"/>
    </row>
    <row r="45" spans="2:46">
      <c r="M45" s="1682" t="str">
        <f>copyright</f>
        <v>Copyright (c) 2009 Tykoh Group Pty Limited</v>
      </c>
      <c r="N45" s="1682"/>
      <c r="O45" s="1682"/>
      <c r="P45" s="1682"/>
      <c r="Q45" s="1682"/>
      <c r="R45" s="1682"/>
      <c r="S45" s="1682"/>
      <c r="T45" s="1682"/>
      <c r="U45" s="1682"/>
      <c r="V45" s="1682"/>
      <c r="W45" s="1682"/>
      <c r="X45" s="1682"/>
      <c r="Y45" s="1682"/>
      <c r="Z45" s="1682"/>
    </row>
    <row r="46" spans="2:46">
      <c r="M46" s="1452" t="str">
        <f>home_address</f>
        <v>www.tykoh.com</v>
      </c>
      <c r="N46" s="1452"/>
      <c r="O46" s="1452"/>
      <c r="P46" s="1452"/>
      <c r="Q46" s="1452"/>
      <c r="R46" s="1452"/>
      <c r="S46" s="1452"/>
      <c r="T46" s="1452"/>
      <c r="U46" s="1452"/>
      <c r="V46" s="1452"/>
      <c r="W46" s="1452"/>
      <c r="X46" s="1452"/>
      <c r="Y46" s="1452"/>
      <c r="Z46" s="1452"/>
    </row>
    <row r="47" spans="2:46"/>
  </sheetData>
  <sheetProtection algorithmName="SHA-512" hashValue="38w0uIu2fQ5pAQT4ZHvNoPrAFwsx+hm2xZrp/2dsGOXS/2LTK4BvmWsaZCtdFiFM5w3gMDelyZT9C7qoKRd8Nw==" saltValue="Cngs94GN+0gavGrZ76WQiQ==" spinCount="100000" sheet="1" objects="1" scenarios="1"/>
  <mergeCells count="10">
    <mergeCell ref="M46:Z46"/>
    <mergeCell ref="AN44:AS44"/>
    <mergeCell ref="F16:AS16"/>
    <mergeCell ref="M44:Z44"/>
    <mergeCell ref="J2:W2"/>
    <mergeCell ref="C35:AS42"/>
    <mergeCell ref="C11:AS12"/>
    <mergeCell ref="C5:AI7"/>
    <mergeCell ref="AJ4:AS8"/>
    <mergeCell ref="M45:Z45"/>
  </mergeCells>
  <phoneticPr fontId="2" type="noConversion"/>
  <conditionalFormatting sqref="C18:AS33">
    <cfRule type="expression" dxfId="47" priority="1" stopIfTrue="1">
      <formula>MOD(ROW(18:18),2)=0</formula>
    </cfRule>
  </conditionalFormatting>
  <hyperlinks>
    <hyperlink ref="C18" location="hh_Aggregating" display="Aggregating" xr:uid="{00000000-0004-0000-2000-000000000000}"/>
    <hyperlink ref="C19" location="hh_Averaging" display="Averaging" xr:uid="{00000000-0004-0000-2000-000001000000}"/>
    <hyperlink ref="C20" location="hh_Charting" display="Charting" xr:uid="{00000000-0004-0000-2000-000002000000}"/>
    <hyperlink ref="C21" location="hh_Highlighting" display="Highlighting" xr:uid="{00000000-0004-0000-2000-000003000000}"/>
    <hyperlink ref="C22" location="hh_Filtering" display="Filtering" xr:uid="{00000000-0004-0000-2000-000004000000}"/>
    <hyperlink ref="C23" location="hh_Interpolating" display="Interpolating" xr:uid="{00000000-0004-0000-2000-000005000000}"/>
    <hyperlink ref="C24" location="hh_Looking_Up" display="Looking_Up" xr:uid="{00000000-0004-0000-2000-000006000000}"/>
    <hyperlink ref="C26" location="hh_Ranking" display="Ranking" xr:uid="{00000000-0004-0000-2000-000007000000}"/>
    <hyperlink ref="C29" location="hh_Scheduling" display="Scheduling" xr:uid="{00000000-0004-0000-2000-000008000000}"/>
    <hyperlink ref="C31" location="hh_Sensitising_Value" display="Sensitising_Value" xr:uid="{00000000-0004-0000-2000-000009000000}"/>
    <hyperlink ref="C32" location="hh_RateSensitising" display="RateSensitising" xr:uid="{00000000-0004-0000-2000-00000A000000}"/>
    <hyperlink ref="C33" location="hh_Valuing_Option" display="Valuing_Option" xr:uid="{00000000-0004-0000-2000-00000B000000}"/>
    <hyperlink ref="AN44" location="hh_xref" display="hh_xref" xr:uid="{00000000-0004-0000-2000-00000C000000}"/>
    <hyperlink ref="C28" location="hh_Scenario_Analysing" display="Scenario_Analysing" xr:uid="{00000000-0004-0000-2000-00000D000000}"/>
    <hyperlink ref="C25" location="hh_Prioritising" display="Prioritising" xr:uid="{00000000-0004-0000-2000-00000E000000}"/>
    <hyperlink ref="C30" location="hh_Seasonalising" display="Seasonalising" xr:uid="{00000000-0004-0000-2000-00000F000000}"/>
    <hyperlink ref="C27" location="hh_Rounding" display="Rounding" xr:uid="{00000000-0004-0000-2000-000010000000}"/>
    <hyperlink ref="J17" location="hh_fn_CHOOSE" display="CHOOSE" xr:uid="{00000000-0004-0000-2000-000011000000}"/>
    <hyperlink ref="R17" location="hh_fn_IF" display="IF" xr:uid="{00000000-0004-0000-2000-000012000000}"/>
    <hyperlink ref="Y17" location="hh_fn_LOOKUP" display="LOOKUP" xr:uid="{00000000-0004-0000-2000-000013000000}"/>
    <hyperlink ref="AH17" location="hh_fn_OFFSET" display="OFFSET" xr:uid="{00000000-0004-0000-2000-000014000000}"/>
    <hyperlink ref="AN17" location="hh_fn_SUM" display="SUM" xr:uid="{00000000-0004-0000-2000-000015000000}"/>
    <hyperlink ref="AR17" location="hh_fn_VLOOKUP" display="VLOOKUP" xr:uid="{00000000-0004-0000-2000-000016000000}"/>
    <hyperlink ref="F17" location="hh_fn_ABS" display="ABS" xr:uid="{00000000-0004-0000-2000-000017000000}"/>
    <hyperlink ref="G17" location="hh_fn_AND" display="AND" xr:uid="{00000000-0004-0000-2000-000018000000}"/>
    <hyperlink ref="T17" location="hh_fn_ISNA" display="ISNA" xr:uid="{00000000-0004-0000-2000-000019000000}"/>
    <hyperlink ref="AI17" location="hh_fn_OR" display="OR" xr:uid="{00000000-0004-0000-2000-00001A000000}"/>
    <hyperlink ref="I17" location="hh_fn_AVERAGE" display="AVERAGE" xr:uid="{00000000-0004-0000-2000-00001B000000}"/>
    <hyperlink ref="M17" location="hh_fn_COUNT" display="COUNT" xr:uid="{00000000-0004-0000-2000-00001C000000}"/>
    <hyperlink ref="N17" location="hh_fn_COUNTIF" display="COUNTIF" xr:uid="{00000000-0004-0000-2000-00001D000000}"/>
    <hyperlink ref="U17" location="hh_fn_LARGE" display="LARGE" xr:uid="{00000000-0004-0000-2000-00001E000000}"/>
    <hyperlink ref="V17" location="hh_fn_LEFT" display="LEFT" xr:uid="{00000000-0004-0000-2000-00001F000000}"/>
    <hyperlink ref="Z17" location="hh_fn_MATCH" display="MATCH" xr:uid="{00000000-0004-0000-2000-000020000000}"/>
    <hyperlink ref="AA17" location="hh_fn_MAX" display="MAX" xr:uid="{00000000-0004-0000-2000-000021000000}"/>
    <hyperlink ref="AC17" location="hh_fn_MIN" display="MIN" xr:uid="{00000000-0004-0000-2000-000022000000}"/>
    <hyperlink ref="AJ17" location="hh_fn_RIGHT" display="RIGHT" xr:uid="{00000000-0004-0000-2000-000023000000}"/>
    <hyperlink ref="AO17" location="hh_fn_SUMPRODUCT" display="SUMPRODUCT" xr:uid="{00000000-0004-0000-2000-000024000000}"/>
    <hyperlink ref="W17" location="hh_fn_LEN" display="LEN" xr:uid="{00000000-0004-0000-2000-000025000000}"/>
    <hyperlink ref="AB17" location="hh_fn_MID" display="MID" xr:uid="{00000000-0004-0000-2000-000026000000}"/>
    <hyperlink ref="C44" location="hh_index" display="hh_index" xr:uid="{00000000-0004-0000-2000-000027000000}"/>
    <hyperlink ref="M46:Z46" r:id="rId1" display="https://www.tykoh.com/" xr:uid="{00000000-0004-0000-2000-000028000000}"/>
  </hyperlinks>
  <pageMargins left="0.75" right="0.75" top="1" bottom="1" header="0.5" footer="0.5"/>
  <pageSetup scale="74" orientation="portrait" r:id="rId2"/>
  <headerFooter alignWithMargins="0"/>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4"/>
  <dimension ref="C1:O117"/>
  <sheetViews>
    <sheetView showGridLines="0" showRowColHeaders="0" topLeftCell="A97" zoomScaleNormal="100" workbookViewId="0">
      <selection activeCell="G116" sqref="G116:K116"/>
    </sheetView>
  </sheetViews>
  <sheetFormatPr defaultColWidth="0" defaultRowHeight="12.5" zeroHeight="1"/>
  <cols>
    <col min="1" max="2" width="1" style="32" customWidth="1"/>
    <col min="3" max="4" width="9.26953125" style="32" bestFit="1" customWidth="1"/>
    <col min="5" max="5" width="9.81640625" style="32" bestFit="1" customWidth="1"/>
    <col min="6" max="6" width="9.26953125" style="32" bestFit="1" customWidth="1"/>
    <col min="7" max="7" width="9.1796875" style="32" customWidth="1"/>
    <col min="8" max="8" width="9.81640625" style="32" bestFit="1" customWidth="1"/>
    <col min="9"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8" thickBot="1">
      <c r="C3" s="1699" t="s">
        <v>1645</v>
      </c>
      <c r="D3" s="1699"/>
      <c r="E3" s="1699"/>
      <c r="F3" s="1699"/>
      <c r="G3" s="1699"/>
      <c r="H3" s="1699"/>
      <c r="I3" s="1699"/>
      <c r="J3" s="1699"/>
      <c r="K3" s="1699"/>
      <c r="L3" s="1699"/>
      <c r="M3" s="1699"/>
      <c r="N3" s="1699"/>
      <c r="O3" s="1699"/>
    </row>
    <row r="4" spans="3:15" ht="13.5" customHeight="1" thickTop="1">
      <c r="C4" s="33"/>
      <c r="D4" s="33"/>
      <c r="E4" s="33"/>
      <c r="F4" s="33"/>
      <c r="G4" s="33"/>
      <c r="H4" s="33"/>
      <c r="I4" s="33"/>
      <c r="J4" s="33"/>
      <c r="K4" s="33"/>
      <c r="L4" s="33"/>
      <c r="M4" s="1521" t="str">
        <f ca="1">OFFSET(ad_first,OFFSET(ads_top,ROW(ads_fn_ABS)-1,1),0)</f>
        <v>We can provide a mix of classroom, internet and self learning teaching.</v>
      </c>
      <c r="N4" s="1522"/>
      <c r="O4" s="1523"/>
    </row>
    <row r="5" spans="3:15">
      <c r="C5" s="1568" t="s">
        <v>932</v>
      </c>
      <c r="D5" s="1568"/>
      <c r="E5" s="1568"/>
      <c r="F5" s="1568"/>
      <c r="G5" s="1568"/>
      <c r="H5" s="1568"/>
      <c r="I5" s="1568"/>
      <c r="J5" s="1568"/>
      <c r="K5" s="1568"/>
      <c r="L5" s="1568"/>
      <c r="M5" s="1524"/>
      <c r="N5" s="1525"/>
      <c r="O5" s="1526"/>
    </row>
    <row r="6" spans="3:15">
      <c r="C6" s="1568"/>
      <c r="D6" s="1568"/>
      <c r="E6" s="1568"/>
      <c r="F6" s="1568"/>
      <c r="G6" s="1568"/>
      <c r="H6" s="1568"/>
      <c r="I6" s="1568"/>
      <c r="J6" s="1568"/>
      <c r="K6" s="1568"/>
      <c r="L6" s="1568"/>
      <c r="M6" s="1524"/>
      <c r="N6" s="1525"/>
      <c r="O6" s="1526"/>
    </row>
    <row r="7" spans="3:15">
      <c r="C7" s="1568"/>
      <c r="D7" s="1568"/>
      <c r="E7" s="1568"/>
      <c r="F7" s="1568"/>
      <c r="G7" s="1568"/>
      <c r="H7" s="1568"/>
      <c r="I7" s="1568"/>
      <c r="J7" s="1568"/>
      <c r="K7" s="1568"/>
      <c r="L7" s="1568"/>
      <c r="M7" s="1524"/>
      <c r="N7" s="1525"/>
      <c r="O7" s="1526"/>
    </row>
    <row r="8" spans="3:15" ht="13" thickBot="1">
      <c r="C8" s="33"/>
      <c r="D8" s="33"/>
      <c r="E8" s="33"/>
      <c r="F8" s="33"/>
      <c r="G8" s="33"/>
      <c r="H8" s="33"/>
      <c r="I8" s="33"/>
      <c r="J8" s="33"/>
      <c r="K8" s="33"/>
      <c r="L8" s="33"/>
      <c r="M8" s="1527"/>
      <c r="N8" s="1528"/>
      <c r="O8" s="1529"/>
    </row>
    <row r="9" spans="3:15" ht="16" thickTop="1">
      <c r="C9" s="99" t="s">
        <v>391</v>
      </c>
      <c r="D9" s="33"/>
      <c r="E9" s="33"/>
      <c r="F9" s="33"/>
      <c r="G9" s="33"/>
      <c r="H9" s="33"/>
      <c r="I9" s="33"/>
      <c r="J9" s="33"/>
      <c r="K9" s="33"/>
      <c r="L9" s="33"/>
      <c r="M9" s="1314"/>
      <c r="N9" s="1314"/>
      <c r="O9" s="1314"/>
    </row>
    <row r="10" spans="3:15">
      <c r="C10" s="33" t="s">
        <v>393</v>
      </c>
      <c r="D10" s="33"/>
      <c r="E10" s="33"/>
      <c r="F10" s="33"/>
      <c r="G10" s="33"/>
      <c r="H10" s="33"/>
      <c r="I10" s="33"/>
      <c r="J10" s="33"/>
      <c r="K10" s="33"/>
      <c r="L10" s="33"/>
      <c r="M10" s="1314"/>
      <c r="N10" s="1314"/>
      <c r="O10" s="1314"/>
    </row>
    <row r="11" spans="3:15">
      <c r="C11" s="33"/>
      <c r="D11" s="33"/>
      <c r="E11" s="33"/>
      <c r="F11" s="33"/>
      <c r="G11" s="33"/>
      <c r="H11" s="33"/>
      <c r="I11" s="33"/>
      <c r="J11" s="33"/>
      <c r="K11" s="33"/>
      <c r="L11" s="33"/>
      <c r="M11" s="1314"/>
      <c r="N11" s="1314"/>
      <c r="O11" s="1314"/>
    </row>
    <row r="12" spans="3:15" ht="13">
      <c r="C12" s="1349" t="s">
        <v>392</v>
      </c>
      <c r="D12" s="33"/>
      <c r="E12" s="33"/>
      <c r="F12" s="33"/>
      <c r="G12" s="33"/>
      <c r="H12" s="33"/>
      <c r="I12" s="33"/>
      <c r="J12" s="33"/>
      <c r="K12" s="33"/>
      <c r="L12" s="33"/>
      <c r="M12" s="1314"/>
      <c r="N12" s="1314"/>
      <c r="O12" s="1314"/>
    </row>
    <row r="13" spans="3:15">
      <c r="C13" s="33"/>
      <c r="D13" s="33"/>
      <c r="E13" s="33"/>
      <c r="F13" s="33"/>
      <c r="G13" s="33"/>
      <c r="H13" s="33"/>
      <c r="I13" s="33"/>
      <c r="J13" s="33"/>
      <c r="K13" s="33"/>
      <c r="L13" s="33"/>
      <c r="M13" s="1314"/>
      <c r="N13" s="1314"/>
      <c r="O13" s="1314"/>
    </row>
    <row r="14" spans="3:15">
      <c r="C14" s="1568" t="s">
        <v>398</v>
      </c>
      <c r="D14" s="1518"/>
      <c r="E14" s="1518"/>
      <c r="F14" s="1518"/>
      <c r="G14" s="1518"/>
      <c r="H14" s="1518"/>
      <c r="I14" s="1518"/>
      <c r="J14" s="1518"/>
      <c r="K14" s="1518"/>
      <c r="L14" s="1518"/>
      <c r="M14" s="1518"/>
      <c r="N14" s="1518"/>
      <c r="O14" s="1518"/>
    </row>
    <row r="15" spans="3:15">
      <c r="C15" s="1518"/>
      <c r="D15" s="1518"/>
      <c r="E15" s="1518"/>
      <c r="F15" s="1518"/>
      <c r="G15" s="1518"/>
      <c r="H15" s="1518"/>
      <c r="I15" s="1518"/>
      <c r="J15" s="1518"/>
      <c r="K15" s="1518"/>
      <c r="L15" s="1518"/>
      <c r="M15" s="1518"/>
      <c r="N15" s="1518"/>
      <c r="O15" s="1518"/>
    </row>
    <row r="16" spans="3:15">
      <c r="C16" s="1518"/>
      <c r="D16" s="1518"/>
      <c r="E16" s="1518"/>
      <c r="F16" s="1518"/>
      <c r="G16" s="1518"/>
      <c r="H16" s="1518"/>
      <c r="I16" s="1518"/>
      <c r="J16" s="1518"/>
      <c r="K16" s="1518"/>
      <c r="L16" s="1518"/>
      <c r="M16" s="1518"/>
      <c r="N16" s="1518"/>
      <c r="O16" s="1518"/>
    </row>
    <row r="17" spans="3:15">
      <c r="C17" s="1518" t="s">
        <v>394</v>
      </c>
      <c r="D17" s="1518"/>
      <c r="E17" s="1518"/>
      <c r="F17" s="1518"/>
      <c r="G17" s="1518"/>
      <c r="H17" s="1518"/>
      <c r="I17" s="1518"/>
      <c r="J17" s="1518"/>
      <c r="K17" s="1518"/>
      <c r="L17" s="1518"/>
      <c r="M17" s="1518"/>
      <c r="N17" s="1518"/>
      <c r="O17" s="1518"/>
    </row>
    <row r="18" spans="3:15">
      <c r="C18" s="1518"/>
      <c r="D18" s="1518"/>
      <c r="E18" s="1518"/>
      <c r="F18" s="1518"/>
      <c r="G18" s="1518"/>
      <c r="H18" s="1518"/>
      <c r="I18" s="1518"/>
      <c r="J18" s="1518"/>
      <c r="K18" s="1518"/>
      <c r="L18" s="1518"/>
      <c r="M18" s="1518"/>
      <c r="N18" s="1518"/>
      <c r="O18" s="1518"/>
    </row>
    <row r="19" spans="3:15">
      <c r="C19" s="1518"/>
      <c r="D19" s="1518"/>
      <c r="E19" s="1518"/>
      <c r="F19" s="1518"/>
      <c r="G19" s="1518"/>
      <c r="H19" s="1518"/>
      <c r="I19" s="1518"/>
      <c r="J19" s="1518"/>
      <c r="K19" s="1518"/>
      <c r="L19" s="1518"/>
      <c r="M19" s="1518"/>
      <c r="N19" s="1518"/>
      <c r="O19" s="1518"/>
    </row>
    <row r="20" spans="3:15">
      <c r="C20" s="1518" t="s">
        <v>395</v>
      </c>
      <c r="D20" s="1518"/>
      <c r="E20" s="1518"/>
      <c r="F20" s="1518"/>
      <c r="G20" s="1518"/>
      <c r="H20" s="1518"/>
      <c r="I20" s="1518"/>
      <c r="J20" s="1518"/>
      <c r="K20" s="1518"/>
      <c r="L20" s="1518"/>
      <c r="M20" s="1518"/>
      <c r="N20" s="1518"/>
      <c r="O20" s="1518"/>
    </row>
    <row r="21" spans="3:15">
      <c r="C21" s="1518"/>
      <c r="D21" s="1518"/>
      <c r="E21" s="1518"/>
      <c r="F21" s="1518"/>
      <c r="G21" s="1518"/>
      <c r="H21" s="1518"/>
      <c r="I21" s="1518"/>
      <c r="J21" s="1518"/>
      <c r="K21" s="1518"/>
      <c r="L21" s="1518"/>
      <c r="M21" s="1518"/>
      <c r="N21" s="1518"/>
      <c r="O21" s="1518"/>
    </row>
    <row r="22" spans="3:15">
      <c r="C22" s="619"/>
      <c r="D22" s="619"/>
      <c r="E22" s="619"/>
      <c r="F22" s="619"/>
      <c r="G22" s="619"/>
      <c r="H22" s="619"/>
      <c r="I22" s="619"/>
      <c r="J22" s="619"/>
      <c r="K22" s="619"/>
      <c r="L22" s="619"/>
      <c r="M22" s="619"/>
      <c r="N22" s="619"/>
      <c r="O22" s="619"/>
    </row>
    <row r="23" spans="3:15">
      <c r="C23" s="1518" t="s">
        <v>396</v>
      </c>
      <c r="D23" s="1518"/>
      <c r="E23" s="1518"/>
      <c r="F23" s="1518"/>
      <c r="G23" s="1518"/>
      <c r="H23" s="1518"/>
      <c r="I23" s="1518"/>
      <c r="J23" s="1518"/>
      <c r="K23" s="1518"/>
      <c r="L23" s="1518"/>
      <c r="M23" s="1518"/>
      <c r="N23" s="1518"/>
      <c r="O23" s="1518"/>
    </row>
    <row r="24" spans="3:15">
      <c r="C24" s="1518"/>
      <c r="D24" s="1518"/>
      <c r="E24" s="1518"/>
      <c r="F24" s="1518"/>
      <c r="G24" s="1518"/>
      <c r="H24" s="1518"/>
      <c r="I24" s="1518"/>
      <c r="J24" s="1518"/>
      <c r="K24" s="1518"/>
      <c r="L24" s="1518"/>
      <c r="M24" s="1518"/>
      <c r="N24" s="1518"/>
      <c r="O24" s="1518"/>
    </row>
    <row r="25" spans="3:15">
      <c r="C25" s="619"/>
      <c r="D25" s="619"/>
      <c r="E25" s="619"/>
      <c r="F25" s="619"/>
      <c r="G25" s="619"/>
      <c r="H25" s="619"/>
      <c r="I25" s="619"/>
      <c r="J25" s="619"/>
      <c r="K25" s="619"/>
      <c r="L25" s="619"/>
      <c r="M25" s="619"/>
      <c r="N25" s="619"/>
      <c r="O25" s="619"/>
    </row>
    <row r="26" spans="3:15">
      <c r="C26" s="1518" t="s">
        <v>397</v>
      </c>
      <c r="D26" s="1518"/>
      <c r="E26" s="1518"/>
      <c r="F26" s="1518"/>
      <c r="G26" s="1518"/>
      <c r="H26" s="1518"/>
      <c r="I26" s="1518"/>
      <c r="J26" s="1518"/>
      <c r="K26" s="1518"/>
      <c r="L26" s="1518"/>
      <c r="M26" s="1518"/>
      <c r="N26" s="1518"/>
      <c r="O26" s="1518"/>
    </row>
    <row r="27" spans="3:15">
      <c r="C27" s="1518"/>
      <c r="D27" s="1518"/>
      <c r="E27" s="1518"/>
      <c r="F27" s="1518"/>
      <c r="G27" s="1518"/>
      <c r="H27" s="1518"/>
      <c r="I27" s="1518"/>
      <c r="J27" s="1518"/>
      <c r="K27" s="1518"/>
      <c r="L27" s="1518"/>
      <c r="M27" s="1518"/>
      <c r="N27" s="1518"/>
      <c r="O27" s="1518"/>
    </row>
    <row r="28" spans="3:15">
      <c r="C28" s="1518"/>
      <c r="D28" s="1518"/>
      <c r="E28" s="1518"/>
      <c r="F28" s="1518"/>
      <c r="G28" s="1518"/>
      <c r="H28" s="1518"/>
      <c r="I28" s="1518"/>
      <c r="J28" s="1518"/>
      <c r="K28" s="1518"/>
      <c r="L28" s="1518"/>
      <c r="M28" s="1518"/>
      <c r="N28" s="1518"/>
      <c r="O28" s="1518"/>
    </row>
    <row r="29" spans="3:15">
      <c r="C29" s="619"/>
      <c r="D29" s="619"/>
      <c r="E29" s="619"/>
      <c r="F29" s="619"/>
      <c r="G29" s="619"/>
      <c r="H29" s="619"/>
      <c r="I29" s="619"/>
      <c r="J29" s="619"/>
      <c r="K29" s="619"/>
      <c r="L29" s="619"/>
      <c r="M29" s="619"/>
      <c r="N29" s="619"/>
      <c r="O29" s="619"/>
    </row>
    <row r="30" spans="3:15" ht="13">
      <c r="C30" s="1688" t="s">
        <v>399</v>
      </c>
      <c r="D30" s="1543"/>
      <c r="E30" s="1543"/>
      <c r="F30" s="1543"/>
      <c r="G30" s="1543"/>
      <c r="H30" s="1543"/>
      <c r="I30" s="619"/>
      <c r="J30" s="619"/>
      <c r="K30" s="619"/>
      <c r="L30" s="619"/>
      <c r="M30" s="619"/>
      <c r="N30" s="619"/>
      <c r="O30" s="619"/>
    </row>
    <row r="31" spans="3:15">
      <c r="C31" s="619"/>
      <c r="D31" s="619"/>
      <c r="E31" s="619"/>
      <c r="F31" s="619"/>
      <c r="G31" s="619"/>
      <c r="H31" s="619"/>
      <c r="I31" s="619"/>
      <c r="J31" s="619"/>
      <c r="K31" s="619"/>
      <c r="L31" s="619"/>
      <c r="M31" s="619"/>
      <c r="N31" s="619"/>
      <c r="O31" s="619"/>
    </row>
    <row r="32" spans="3:15">
      <c r="C32" s="1518" t="s">
        <v>400</v>
      </c>
      <c r="D32" s="1518"/>
      <c r="E32" s="1518"/>
      <c r="F32" s="1518"/>
      <c r="G32" s="1518"/>
      <c r="H32" s="1518"/>
      <c r="I32" s="1518"/>
      <c r="J32" s="1518"/>
      <c r="K32" s="1518"/>
      <c r="L32" s="1518"/>
      <c r="M32" s="1518"/>
      <c r="N32" s="1518"/>
      <c r="O32" s="1518"/>
    </row>
    <row r="33" spans="3:15">
      <c r="C33" s="619"/>
      <c r="D33" s="619"/>
      <c r="E33" s="619"/>
      <c r="F33" s="619"/>
      <c r="G33" s="619"/>
      <c r="H33" s="619"/>
      <c r="I33" s="619"/>
      <c r="J33" s="619"/>
      <c r="K33" s="619"/>
      <c r="L33" s="619"/>
      <c r="M33" s="619"/>
      <c r="N33" s="619"/>
      <c r="O33" s="619"/>
    </row>
    <row r="34" spans="3:15">
      <c r="C34" s="1518" t="s">
        <v>1471</v>
      </c>
      <c r="D34" s="1518"/>
      <c r="E34" s="1518"/>
      <c r="F34" s="1518"/>
      <c r="G34" s="1518"/>
      <c r="H34" s="1518"/>
      <c r="I34" s="1518"/>
      <c r="J34" s="1518"/>
      <c r="K34" s="1518"/>
      <c r="L34" s="1518"/>
      <c r="M34" s="1518"/>
      <c r="N34" s="1518"/>
      <c r="O34" s="1518"/>
    </row>
    <row r="35" spans="3:15">
      <c r="C35" s="1518"/>
      <c r="D35" s="1518"/>
      <c r="E35" s="1518"/>
      <c r="F35" s="1518"/>
      <c r="G35" s="1518"/>
      <c r="H35" s="1518"/>
      <c r="I35" s="1518"/>
      <c r="J35" s="1518"/>
      <c r="K35" s="1518"/>
      <c r="L35" s="1518"/>
      <c r="M35" s="1518"/>
      <c r="N35" s="1518"/>
      <c r="O35" s="1518"/>
    </row>
    <row r="36" spans="3:15">
      <c r="C36" s="619"/>
      <c r="D36" s="619"/>
      <c r="E36" s="619"/>
      <c r="F36" s="619"/>
      <c r="G36" s="619"/>
      <c r="H36" s="619"/>
      <c r="I36" s="619"/>
      <c r="J36" s="619"/>
      <c r="K36" s="619"/>
      <c r="L36" s="619"/>
      <c r="M36" s="619"/>
      <c r="N36" s="619"/>
      <c r="O36" s="619"/>
    </row>
    <row r="37" spans="3:15" ht="15.5">
      <c r="C37" s="416" t="s">
        <v>1341</v>
      </c>
      <c r="M37" s="1310"/>
      <c r="N37" s="1311"/>
      <c r="O37" s="1311"/>
    </row>
    <row r="38" spans="3:15">
      <c r="C38" s="1585" t="s">
        <v>390</v>
      </c>
      <c r="D38" s="1585"/>
      <c r="E38" s="1585"/>
      <c r="F38" s="1585"/>
      <c r="G38" s="1585"/>
      <c r="H38" s="1585"/>
      <c r="I38" s="1585"/>
      <c r="J38" s="1585"/>
      <c r="K38" s="1585"/>
      <c r="L38" s="1585"/>
      <c r="M38" s="1585"/>
      <c r="N38" s="1585"/>
      <c r="O38" s="1585"/>
    </row>
    <row r="39" spans="3:15">
      <c r="C39" s="1585"/>
      <c r="D39" s="1585"/>
      <c r="E39" s="1585"/>
      <c r="F39" s="1585"/>
      <c r="G39" s="1585"/>
      <c r="H39" s="1585"/>
      <c r="I39" s="1585"/>
      <c r="J39" s="1585"/>
      <c r="K39" s="1585"/>
      <c r="L39" s="1585"/>
      <c r="M39" s="1585"/>
      <c r="N39" s="1585"/>
      <c r="O39" s="1585"/>
    </row>
    <row r="40" spans="3:15">
      <c r="C40" s="1585"/>
      <c r="D40" s="1585"/>
      <c r="E40" s="1585"/>
      <c r="F40" s="1585"/>
      <c r="G40" s="1585"/>
      <c r="H40" s="1585"/>
      <c r="I40" s="1585"/>
      <c r="J40" s="1585"/>
      <c r="K40" s="1585"/>
      <c r="L40" s="1585"/>
      <c r="M40" s="1585"/>
      <c r="N40" s="1585"/>
      <c r="O40" s="1585"/>
    </row>
    <row r="41" spans="3:15"/>
    <row r="42" spans="3:15">
      <c r="C42" s="1585" t="s">
        <v>279</v>
      </c>
      <c r="D42" s="1585"/>
      <c r="E42" s="1585"/>
      <c r="F42" s="1585"/>
      <c r="G42" s="1585"/>
      <c r="H42" s="1585"/>
      <c r="I42" s="1585"/>
      <c r="J42" s="1585"/>
      <c r="K42" s="1585"/>
      <c r="L42" s="1585"/>
      <c r="M42" s="1585"/>
      <c r="N42" s="1585"/>
      <c r="O42" s="1585"/>
    </row>
    <row r="43" spans="3:15">
      <c r="C43" s="1585"/>
      <c r="D43" s="1585"/>
      <c r="E43" s="1585"/>
      <c r="F43" s="1585"/>
      <c r="G43" s="1585"/>
      <c r="H43" s="1585"/>
      <c r="I43" s="1585"/>
      <c r="J43" s="1585"/>
      <c r="K43" s="1585"/>
      <c r="L43" s="1585"/>
      <c r="M43" s="1585"/>
      <c r="N43" s="1585"/>
      <c r="O43" s="1585"/>
    </row>
    <row r="44" spans="3:15">
      <c r="C44" s="1585"/>
      <c r="D44" s="1585"/>
      <c r="E44" s="1585"/>
      <c r="F44" s="1585"/>
      <c r="G44" s="1585"/>
      <c r="H44" s="1585"/>
      <c r="I44" s="1585"/>
      <c r="J44" s="1585"/>
      <c r="K44" s="1585"/>
      <c r="L44" s="1585"/>
      <c r="M44" s="1585"/>
      <c r="N44" s="1585"/>
      <c r="O44" s="1585"/>
    </row>
    <row r="45" spans="3:15">
      <c r="C45" s="263"/>
      <c r="D45" s="263"/>
      <c r="E45" s="263"/>
      <c r="F45" s="263"/>
      <c r="G45" s="263"/>
      <c r="H45" s="263"/>
      <c r="I45" s="263"/>
      <c r="J45" s="263"/>
      <c r="K45" s="263"/>
      <c r="L45" s="263"/>
      <c r="M45" s="263"/>
      <c r="N45" s="263"/>
      <c r="O45" s="263"/>
    </row>
    <row r="46" spans="3:15">
      <c r="C46" s="1585" t="s">
        <v>280</v>
      </c>
      <c r="D46" s="1585"/>
      <c r="E46" s="1585"/>
      <c r="F46" s="1585"/>
      <c r="G46" s="1585"/>
      <c r="H46" s="1585"/>
      <c r="I46" s="1585"/>
      <c r="J46" s="1585"/>
      <c r="K46" s="1585"/>
      <c r="L46" s="1585"/>
      <c r="M46" s="1585"/>
      <c r="N46" s="1585"/>
      <c r="O46" s="1585"/>
    </row>
    <row r="47" spans="3:15">
      <c r="C47" s="1585"/>
      <c r="D47" s="1585"/>
      <c r="E47" s="1585"/>
      <c r="F47" s="1585"/>
      <c r="G47" s="1585"/>
      <c r="H47" s="1585"/>
      <c r="I47" s="1585"/>
      <c r="J47" s="1585"/>
      <c r="K47" s="1585"/>
      <c r="L47" s="1585"/>
      <c r="M47" s="1585"/>
      <c r="N47" s="1585"/>
      <c r="O47" s="1585"/>
    </row>
    <row r="48" spans="3:15">
      <c r="C48" s="1585"/>
      <c r="D48" s="1585"/>
      <c r="E48" s="1585"/>
      <c r="F48" s="1585"/>
      <c r="G48" s="1585"/>
      <c r="H48" s="1585"/>
      <c r="I48" s="1585"/>
      <c r="J48" s="1585"/>
      <c r="K48" s="1585"/>
      <c r="L48" s="1585"/>
      <c r="M48" s="1585"/>
      <c r="N48" s="1585"/>
      <c r="O48" s="1585"/>
    </row>
    <row r="49" spans="3:15" ht="13" thickBot="1"/>
    <row r="50" spans="3:15" ht="13" thickTop="1">
      <c r="C50" s="857"/>
      <c r="D50" s="857" t="s">
        <v>1363</v>
      </c>
      <c r="E50" s="857" t="s">
        <v>1364</v>
      </c>
      <c r="F50" s="857" t="s">
        <v>1473</v>
      </c>
      <c r="G50" s="857" t="s">
        <v>1474</v>
      </c>
      <c r="H50" s="857" t="s">
        <v>1475</v>
      </c>
      <c r="I50" s="857" t="s">
        <v>1476</v>
      </c>
      <c r="J50" s="857" t="s">
        <v>497</v>
      </c>
      <c r="K50" s="857" t="s">
        <v>1511</v>
      </c>
      <c r="M50" s="1545" t="str">
        <f ca="1">OFFSET(ad_first,OFFSET(ads_top,ROW(ads_fn_ABS)-1,2),0)</f>
        <v>We can customise our courses for particular audiences.</v>
      </c>
      <c r="N50" s="1689"/>
      <c r="O50" s="1690"/>
    </row>
    <row r="51" spans="3:15" ht="13" thickBot="1">
      <c r="C51" s="857">
        <v>1</v>
      </c>
      <c r="D51" s="791"/>
      <c r="E51" s="791"/>
      <c r="F51" s="791"/>
      <c r="G51" s="958"/>
      <c r="H51" s="791"/>
      <c r="I51" s="791"/>
      <c r="J51" s="791"/>
      <c r="K51" s="791"/>
      <c r="M51" s="1691"/>
      <c r="N51" s="1692"/>
      <c r="O51" s="1693"/>
    </row>
    <row r="52" spans="3:15" ht="13" thickBot="1">
      <c r="C52" s="857">
        <v>2</v>
      </c>
      <c r="D52" s="791" t="s">
        <v>1003</v>
      </c>
      <c r="E52" s="1055"/>
      <c r="F52" s="1057" t="s">
        <v>1004</v>
      </c>
      <c r="G52" s="1058">
        <v>0.02</v>
      </c>
      <c r="H52" s="809"/>
      <c r="I52" s="791"/>
      <c r="J52" s="791"/>
      <c r="K52" s="791"/>
      <c r="M52" s="1691"/>
      <c r="N52" s="1692"/>
      <c r="O52" s="1693"/>
    </row>
    <row r="53" spans="3:15" ht="13" thickBot="1">
      <c r="C53" s="857">
        <v>3</v>
      </c>
      <c r="D53" s="791"/>
      <c r="E53" s="791"/>
      <c r="F53" s="791"/>
      <c r="G53" s="957"/>
      <c r="H53" s="791"/>
      <c r="I53" s="791"/>
      <c r="J53" s="791"/>
      <c r="K53" s="791"/>
      <c r="M53" s="1691"/>
      <c r="N53" s="1692"/>
      <c r="O53" s="1693"/>
    </row>
    <row r="54" spans="3:15" ht="13" thickBot="1">
      <c r="C54" s="857">
        <v>4</v>
      </c>
      <c r="D54" s="791" t="s">
        <v>473</v>
      </c>
      <c r="E54" s="791"/>
      <c r="F54" s="1059" t="s">
        <v>1005</v>
      </c>
      <c r="G54" s="1060">
        <v>300</v>
      </c>
      <c r="H54" s="809"/>
      <c r="I54" s="791"/>
      <c r="J54" s="791"/>
      <c r="K54" s="791"/>
      <c r="M54" s="1694"/>
      <c r="N54" s="1695"/>
      <c r="O54" s="1696"/>
    </row>
    <row r="55" spans="3:15">
      <c r="C55" s="857">
        <v>5</v>
      </c>
      <c r="D55" s="791"/>
      <c r="E55" s="791"/>
      <c r="F55" s="791"/>
      <c r="G55" s="963"/>
      <c r="H55" s="791"/>
      <c r="I55" s="791"/>
      <c r="J55" s="791"/>
      <c r="K55" s="791"/>
    </row>
    <row r="56" spans="3:15">
      <c r="C56" s="857">
        <v>6</v>
      </c>
      <c r="D56" s="791" t="s">
        <v>1002</v>
      </c>
      <c r="E56" s="791"/>
      <c r="F56" s="1056" t="s">
        <v>1005</v>
      </c>
      <c r="G56" s="791">
        <f>-G52*G54</f>
        <v>-6</v>
      </c>
      <c r="H56" s="900" t="s">
        <v>1006</v>
      </c>
      <c r="I56" s="791"/>
      <c r="J56" s="791"/>
      <c r="K56" s="791"/>
    </row>
    <row r="57" spans="3:15">
      <c r="C57" s="857">
        <v>7</v>
      </c>
      <c r="D57" s="791"/>
      <c r="E57" s="791"/>
      <c r="F57" s="791"/>
      <c r="G57" s="791"/>
      <c r="H57" s="791"/>
      <c r="I57" s="791"/>
      <c r="J57" s="791"/>
      <c r="K57" s="791"/>
    </row>
    <row r="58" spans="3:15"/>
    <row r="59" spans="3:15">
      <c r="C59" s="1687" t="s">
        <v>281</v>
      </c>
      <c r="D59" s="1687"/>
      <c r="E59" s="1687"/>
      <c r="F59" s="1687"/>
      <c r="G59" s="1687"/>
      <c r="H59" s="1687"/>
      <c r="I59" s="1687"/>
      <c r="J59" s="1687"/>
      <c r="K59" s="1687"/>
      <c r="L59" s="1687"/>
      <c r="M59" s="1687"/>
      <c r="N59" s="1687"/>
      <c r="O59" s="1687"/>
    </row>
    <row r="60" spans="3:15">
      <c r="C60" s="1687"/>
      <c r="D60" s="1687"/>
      <c r="E60" s="1687"/>
      <c r="F60" s="1687"/>
      <c r="G60" s="1687"/>
      <c r="H60" s="1687"/>
      <c r="I60" s="1687"/>
      <c r="J60" s="1687"/>
      <c r="K60" s="1687"/>
      <c r="L60" s="1687"/>
      <c r="M60" s="1687"/>
      <c r="N60" s="1687"/>
      <c r="O60" s="1687"/>
    </row>
    <row r="61" spans="3:15">
      <c r="C61" s="1687"/>
      <c r="D61" s="1687"/>
      <c r="E61" s="1687"/>
      <c r="F61" s="1687"/>
      <c r="G61" s="1687"/>
      <c r="H61" s="1687"/>
      <c r="I61" s="1687"/>
      <c r="J61" s="1687"/>
      <c r="K61" s="1687"/>
      <c r="L61" s="1687"/>
      <c r="M61" s="1687"/>
      <c r="N61" s="1687"/>
      <c r="O61" s="1687"/>
    </row>
    <row r="62" spans="3:15"/>
    <row r="63" spans="3:15">
      <c r="C63" s="32" t="s">
        <v>1025</v>
      </c>
    </row>
    <row r="64" spans="3:15"/>
    <row r="65" spans="3:15">
      <c r="C65" s="1585" t="s">
        <v>282</v>
      </c>
      <c r="D65" s="1585"/>
      <c r="E65" s="1585"/>
      <c r="F65" s="1585"/>
      <c r="G65" s="1585"/>
      <c r="H65" s="1585"/>
      <c r="I65" s="1585"/>
      <c r="J65" s="1585"/>
      <c r="K65" s="1585"/>
      <c r="L65" s="1585"/>
      <c r="M65" s="1585"/>
      <c r="N65" s="1585"/>
      <c r="O65" s="1585"/>
    </row>
    <row r="66" spans="3:15">
      <c r="C66" s="1585"/>
      <c r="D66" s="1585"/>
      <c r="E66" s="1585"/>
      <c r="F66" s="1585"/>
      <c r="G66" s="1585"/>
      <c r="H66" s="1585"/>
      <c r="I66" s="1585"/>
      <c r="J66" s="1585"/>
      <c r="K66" s="1585"/>
      <c r="L66" s="1585"/>
      <c r="M66" s="1585"/>
      <c r="N66" s="1585"/>
      <c r="O66" s="1585"/>
    </row>
    <row r="67" spans="3:15" ht="13" thickBot="1"/>
    <row r="68" spans="3:15" ht="13" thickTop="1">
      <c r="C68" s="857"/>
      <c r="D68" s="857" t="s">
        <v>1363</v>
      </c>
      <c r="E68" s="857" t="s">
        <v>1364</v>
      </c>
      <c r="F68" s="857" t="s">
        <v>1473</v>
      </c>
      <c r="G68" s="857" t="s">
        <v>1474</v>
      </c>
      <c r="H68" s="857" t="s">
        <v>1475</v>
      </c>
      <c r="I68" s="857" t="s">
        <v>1476</v>
      </c>
      <c r="J68" s="857" t="s">
        <v>497</v>
      </c>
      <c r="K68" s="857" t="s">
        <v>1511</v>
      </c>
      <c r="M68" s="1521" t="str">
        <f ca="1">OFFSET(ad_first,OFFSET(ads_top,ROW(ads_fn_ABS)-1,3),0)</f>
        <v>Our courses are presented internationally.</v>
      </c>
      <c r="N68" s="1522"/>
      <c r="O68" s="1523"/>
    </row>
    <row r="69" spans="3:15" ht="13" thickBot="1">
      <c r="C69" s="857">
        <v>1</v>
      </c>
      <c r="D69" s="791"/>
      <c r="E69" s="791"/>
      <c r="F69" s="791"/>
      <c r="G69" s="958"/>
      <c r="H69" s="791"/>
      <c r="I69" s="791"/>
      <c r="J69" s="791"/>
      <c r="K69" s="791"/>
      <c r="M69" s="1524"/>
      <c r="N69" s="1525"/>
      <c r="O69" s="1526"/>
    </row>
    <row r="70" spans="3:15" ht="13" thickBot="1">
      <c r="C70" s="857">
        <v>2</v>
      </c>
      <c r="D70" s="791" t="s">
        <v>1003</v>
      </c>
      <c r="E70" s="1055"/>
      <c r="F70" s="1057" t="s">
        <v>1004</v>
      </c>
      <c r="G70" s="1058">
        <v>0.02</v>
      </c>
      <c r="H70" s="809"/>
      <c r="I70" s="791"/>
      <c r="J70" s="791"/>
      <c r="K70" s="791"/>
      <c r="M70" s="1524"/>
      <c r="N70" s="1525"/>
      <c r="O70" s="1526"/>
    </row>
    <row r="71" spans="3:15" ht="13" thickBot="1">
      <c r="C71" s="857">
        <v>3</v>
      </c>
      <c r="D71" s="791"/>
      <c r="E71" s="791"/>
      <c r="F71" s="791"/>
      <c r="G71" s="957"/>
      <c r="H71" s="791"/>
      <c r="I71" s="791"/>
      <c r="J71" s="791"/>
      <c r="K71" s="791"/>
      <c r="M71" s="1524"/>
      <c r="N71" s="1525"/>
      <c r="O71" s="1526"/>
    </row>
    <row r="72" spans="3:15" ht="13" thickBot="1">
      <c r="C72" s="857">
        <v>4</v>
      </c>
      <c r="D72" s="791" t="s">
        <v>473</v>
      </c>
      <c r="E72" s="791"/>
      <c r="F72" s="1059" t="s">
        <v>1005</v>
      </c>
      <c r="G72" s="1060">
        <v>-400</v>
      </c>
      <c r="H72" s="809"/>
      <c r="I72" s="791"/>
      <c r="J72" s="791"/>
      <c r="K72" s="791"/>
      <c r="M72" s="1527"/>
      <c r="N72" s="1528"/>
      <c r="O72" s="1529"/>
    </row>
    <row r="73" spans="3:15">
      <c r="C73" s="857">
        <v>5</v>
      </c>
      <c r="D73" s="791"/>
      <c r="E73" s="791"/>
      <c r="F73" s="791"/>
      <c r="G73" s="963"/>
      <c r="H73" s="791"/>
      <c r="I73" s="791"/>
      <c r="J73" s="791"/>
      <c r="K73" s="791"/>
      <c r="M73" s="1310"/>
      <c r="N73" s="1311"/>
      <c r="O73" s="1311"/>
    </row>
    <row r="74" spans="3:15">
      <c r="C74" s="857">
        <v>6</v>
      </c>
      <c r="D74" s="791" t="s">
        <v>1002</v>
      </c>
      <c r="E74" s="791"/>
      <c r="F74" s="1056" t="s">
        <v>1005</v>
      </c>
      <c r="G74" s="791">
        <f>-G70*G72</f>
        <v>8</v>
      </c>
      <c r="H74" s="900" t="s">
        <v>1006</v>
      </c>
      <c r="I74" s="791"/>
      <c r="J74" s="791"/>
      <c r="K74" s="791"/>
    </row>
    <row r="75" spans="3:15">
      <c r="C75" s="857">
        <v>7</v>
      </c>
      <c r="D75" s="791"/>
      <c r="E75" s="791"/>
      <c r="F75" s="791"/>
      <c r="G75" s="791"/>
      <c r="H75" s="791"/>
      <c r="I75" s="791"/>
      <c r="J75" s="791"/>
      <c r="K75" s="791"/>
    </row>
    <row r="76" spans="3:15"/>
    <row r="77" spans="3:15">
      <c r="C77" s="1585" t="s">
        <v>1111</v>
      </c>
      <c r="D77" s="1585"/>
      <c r="E77" s="1585"/>
      <c r="F77" s="1585"/>
      <c r="G77" s="1585"/>
      <c r="H77" s="1585"/>
      <c r="I77" s="1585"/>
      <c r="J77" s="1585"/>
      <c r="K77" s="1585"/>
      <c r="L77" s="1585"/>
      <c r="M77" s="1585"/>
      <c r="N77" s="1585"/>
      <c r="O77" s="1585"/>
    </row>
    <row r="78" spans="3:15">
      <c r="C78" s="1585"/>
      <c r="D78" s="1585"/>
      <c r="E78" s="1585"/>
      <c r="F78" s="1585"/>
      <c r="G78" s="1585"/>
      <c r="H78" s="1585"/>
      <c r="I78" s="1585"/>
      <c r="J78" s="1585"/>
      <c r="K78" s="1585"/>
      <c r="L78" s="1585"/>
      <c r="M78" s="1585"/>
      <c r="N78" s="1585"/>
      <c r="O78" s="1585"/>
    </row>
    <row r="79" spans="3:15">
      <c r="C79" s="1585"/>
      <c r="D79" s="1585"/>
      <c r="E79" s="1585"/>
      <c r="F79" s="1585"/>
      <c r="G79" s="1585"/>
      <c r="H79" s="1585"/>
      <c r="I79" s="1585"/>
      <c r="J79" s="1585"/>
      <c r="K79" s="1585"/>
      <c r="L79" s="1585"/>
      <c r="M79" s="1585"/>
      <c r="N79" s="1585"/>
      <c r="O79" s="1585"/>
    </row>
    <row r="80" spans="3:15"/>
    <row r="81" spans="3:15">
      <c r="C81" s="1585" t="s">
        <v>869</v>
      </c>
      <c r="D81" s="1585"/>
      <c r="E81" s="1585"/>
      <c r="F81" s="1585"/>
      <c r="G81" s="1585"/>
      <c r="H81" s="1585"/>
      <c r="I81" s="1585"/>
      <c r="J81" s="1585"/>
      <c r="K81" s="1585"/>
      <c r="L81" s="1585"/>
      <c r="M81" s="1585"/>
      <c r="N81" s="1585"/>
      <c r="O81" s="1585"/>
    </row>
    <row r="82" spans="3:15">
      <c r="C82" s="1585"/>
      <c r="D82" s="1585"/>
      <c r="E82" s="1585"/>
      <c r="F82" s="1585"/>
      <c r="G82" s="1585"/>
      <c r="H82" s="1585"/>
      <c r="I82" s="1585"/>
      <c r="J82" s="1585"/>
      <c r="K82" s="1585"/>
      <c r="L82" s="1585"/>
      <c r="M82" s="1585"/>
      <c r="N82" s="1585"/>
      <c r="O82" s="1585"/>
    </row>
    <row r="83" spans="3:15">
      <c r="C83" s="1585"/>
      <c r="D83" s="1585"/>
      <c r="E83" s="1585"/>
      <c r="F83" s="1585"/>
      <c r="G83" s="1585"/>
      <c r="H83" s="1585"/>
      <c r="I83" s="1585"/>
      <c r="J83" s="1585"/>
      <c r="K83" s="1585"/>
      <c r="L83" s="1585"/>
      <c r="M83" s="1585"/>
      <c r="N83" s="1585"/>
      <c r="O83" s="1585"/>
    </row>
    <row r="84" spans="3:15">
      <c r="C84" s="1585"/>
      <c r="D84" s="1585"/>
      <c r="E84" s="1585"/>
      <c r="F84" s="1585"/>
      <c r="G84" s="1585"/>
      <c r="H84" s="1585"/>
      <c r="I84" s="1585"/>
      <c r="J84" s="1585"/>
      <c r="K84" s="1585"/>
      <c r="L84" s="1585"/>
      <c r="M84" s="1585"/>
      <c r="N84" s="1585"/>
      <c r="O84" s="1585"/>
    </row>
    <row r="85" spans="3:15"/>
    <row r="86" spans="3:15">
      <c r="C86" s="857"/>
      <c r="D86" s="857" t="s">
        <v>1363</v>
      </c>
      <c r="E86" s="857" t="s">
        <v>1364</v>
      </c>
      <c r="F86" s="857" t="s">
        <v>1473</v>
      </c>
      <c r="G86" s="857" t="s">
        <v>1474</v>
      </c>
      <c r="H86" s="857" t="s">
        <v>1475</v>
      </c>
      <c r="I86" s="857" t="s">
        <v>1476</v>
      </c>
      <c r="J86" s="857" t="s">
        <v>497</v>
      </c>
      <c r="K86" s="857" t="s">
        <v>1511</v>
      </c>
      <c r="L86" s="857" t="s">
        <v>1512</v>
      </c>
    </row>
    <row r="87" spans="3:15" ht="13" thickBot="1">
      <c r="C87" s="857">
        <v>1</v>
      </c>
      <c r="D87" s="791"/>
      <c r="E87" s="791"/>
      <c r="F87" s="791"/>
      <c r="G87" s="958"/>
      <c r="H87" s="791"/>
      <c r="I87" s="791"/>
      <c r="J87" s="958"/>
      <c r="K87" s="791"/>
      <c r="L87" s="791"/>
    </row>
    <row r="88" spans="3:15" ht="13" thickBot="1">
      <c r="C88" s="857">
        <v>2</v>
      </c>
      <c r="D88" s="791" t="s">
        <v>1003</v>
      </c>
      <c r="E88" s="1055"/>
      <c r="F88" s="1057" t="s">
        <v>1004</v>
      </c>
      <c r="G88" s="1058">
        <v>0.02</v>
      </c>
      <c r="H88" s="809"/>
      <c r="I88" s="1018"/>
      <c r="J88" s="1061">
        <v>0.02</v>
      </c>
      <c r="K88" s="809"/>
      <c r="L88" s="791"/>
    </row>
    <row r="89" spans="3:15" ht="13" thickBot="1">
      <c r="C89" s="857">
        <v>3</v>
      </c>
      <c r="D89" s="791"/>
      <c r="E89" s="791"/>
      <c r="F89" s="791"/>
      <c r="G89" s="957"/>
      <c r="H89" s="791"/>
      <c r="I89" s="791"/>
      <c r="J89" s="957"/>
      <c r="K89" s="791"/>
      <c r="L89" s="791"/>
    </row>
    <row r="90" spans="3:15" ht="13" thickBot="1">
      <c r="C90" s="857">
        <v>4</v>
      </c>
      <c r="D90" s="791" t="s">
        <v>473</v>
      </c>
      <c r="E90" s="791"/>
      <c r="F90" s="1059" t="s">
        <v>1005</v>
      </c>
      <c r="G90" s="1060">
        <v>300</v>
      </c>
      <c r="H90" s="809"/>
      <c r="I90" s="1018"/>
      <c r="J90" s="1062">
        <v>-400</v>
      </c>
      <c r="K90" s="809"/>
      <c r="L90" s="791"/>
    </row>
    <row r="91" spans="3:15">
      <c r="C91" s="857">
        <v>5</v>
      </c>
      <c r="D91" s="791"/>
      <c r="E91" s="791"/>
      <c r="F91" s="791"/>
      <c r="G91" s="963"/>
      <c r="H91" s="791"/>
      <c r="I91" s="791"/>
      <c r="J91" s="963"/>
      <c r="K91" s="791"/>
      <c r="L91" s="791"/>
    </row>
    <row r="92" spans="3:15">
      <c r="C92" s="857">
        <v>6</v>
      </c>
      <c r="D92" s="791" t="s">
        <v>1002</v>
      </c>
      <c r="E92" s="791"/>
      <c r="F92" s="1056" t="s">
        <v>1005</v>
      </c>
      <c r="G92" s="791">
        <f>-G88*ABS(G90)</f>
        <v>-6</v>
      </c>
      <c r="H92" s="900" t="s">
        <v>1007</v>
      </c>
      <c r="I92" s="791"/>
      <c r="J92" s="791">
        <f>-J88*ABS(J90)</f>
        <v>-8</v>
      </c>
      <c r="K92" s="900" t="s">
        <v>1012</v>
      </c>
      <c r="L92" s="791"/>
    </row>
    <row r="93" spans="3:15">
      <c r="C93" s="857">
        <v>7</v>
      </c>
      <c r="D93" s="791"/>
      <c r="E93" s="791"/>
      <c r="F93" s="791"/>
      <c r="G93" s="791"/>
      <c r="H93" s="791"/>
      <c r="I93" s="791"/>
      <c r="J93" s="791"/>
      <c r="K93" s="791"/>
      <c r="L93" s="791"/>
    </row>
    <row r="94" spans="3:15"/>
    <row r="95" spans="3:15">
      <c r="C95" s="1585" t="s">
        <v>1112</v>
      </c>
      <c r="D95" s="1585"/>
      <c r="E95" s="1585"/>
      <c r="F95" s="1585"/>
      <c r="G95" s="1585"/>
      <c r="H95" s="1585"/>
      <c r="I95" s="1585"/>
      <c r="J95" s="1585"/>
      <c r="K95" s="1585"/>
      <c r="L95" s="1585"/>
      <c r="M95" s="1585"/>
      <c r="N95" s="1585"/>
      <c r="O95" s="1585"/>
    </row>
    <row r="96" spans="3:15">
      <c r="C96" s="1585"/>
      <c r="D96" s="1585"/>
      <c r="E96" s="1585"/>
      <c r="F96" s="1585"/>
      <c r="G96" s="1585"/>
      <c r="H96" s="1585"/>
      <c r="I96" s="1585"/>
      <c r="J96" s="1585"/>
      <c r="K96" s="1585"/>
      <c r="L96" s="1585"/>
      <c r="M96" s="1585"/>
      <c r="N96" s="1585"/>
      <c r="O96" s="1585"/>
    </row>
    <row r="97" spans="3:15">
      <c r="C97" s="263"/>
      <c r="D97" s="263"/>
      <c r="E97" s="263"/>
      <c r="F97" s="263"/>
      <c r="G97" s="263"/>
      <c r="H97" s="263"/>
      <c r="I97" s="263"/>
      <c r="J97" s="263"/>
      <c r="K97" s="263"/>
      <c r="L97" s="263"/>
      <c r="M97" s="263"/>
      <c r="N97" s="263"/>
      <c r="O97" s="263"/>
    </row>
    <row r="98" spans="3:15" ht="13">
      <c r="C98" s="772" t="s">
        <v>870</v>
      </c>
    </row>
    <row r="99" spans="3:15"/>
    <row r="100" spans="3:15">
      <c r="C100" s="32" t="s">
        <v>871</v>
      </c>
    </row>
    <row r="101" spans="3:15"/>
    <row r="102" spans="3:15">
      <c r="C102" s="32" t="s">
        <v>872</v>
      </c>
    </row>
    <row r="103" spans="3:15"/>
    <row r="104" spans="3:15">
      <c r="C104" s="32" t="s">
        <v>874</v>
      </c>
    </row>
    <row r="105" spans="3:15" ht="13" thickBot="1">
      <c r="L105" s="33"/>
    </row>
    <row r="106" spans="3:15" ht="13" thickTop="1">
      <c r="C106" s="857"/>
      <c r="D106" s="857" t="s">
        <v>1363</v>
      </c>
      <c r="E106" s="857" t="s">
        <v>1364</v>
      </c>
      <c r="F106" s="857" t="s">
        <v>1473</v>
      </c>
      <c r="G106" s="857" t="s">
        <v>1474</v>
      </c>
      <c r="H106" s="857" t="s">
        <v>1475</v>
      </c>
      <c r="I106" s="857" t="s">
        <v>1476</v>
      </c>
      <c r="J106" s="857" t="s">
        <v>497</v>
      </c>
      <c r="K106" s="857" t="s">
        <v>1511</v>
      </c>
      <c r="L106" s="74"/>
      <c r="M106" s="1521" t="str">
        <f ca="1">OFFSET(ad_first,OFFSET(ads_top,ROW(ads_fn_ABS)-1,4),0)</f>
        <v>Participants on our courses have the opportunity to do on-line pre and post-course self-evaluations.</v>
      </c>
      <c r="N106" s="1522"/>
      <c r="O106" s="1523"/>
    </row>
    <row r="107" spans="3:15" ht="13" thickBot="1">
      <c r="C107" s="857">
        <v>1</v>
      </c>
      <c r="D107" s="958"/>
      <c r="E107" s="958"/>
      <c r="F107" s="958"/>
      <c r="G107" s="791"/>
      <c r="H107" s="791"/>
      <c r="I107" s="791"/>
      <c r="J107" s="791"/>
      <c r="K107" s="791"/>
      <c r="L107" s="33"/>
      <c r="M107" s="1524"/>
      <c r="N107" s="1525"/>
      <c r="O107" s="1526"/>
    </row>
    <row r="108" spans="3:15" ht="13" thickBot="1">
      <c r="C108" s="949">
        <v>2</v>
      </c>
      <c r="D108" s="1020">
        <v>3</v>
      </c>
      <c r="E108" s="1017">
        <v>4</v>
      </c>
      <c r="F108" s="1021">
        <v>-5</v>
      </c>
      <c r="G108" s="809"/>
      <c r="H108" s="791" t="e">
        <f>ABS(D108:F108)</f>
        <v>#VALUE!</v>
      </c>
      <c r="I108" s="900" t="s">
        <v>1008</v>
      </c>
      <c r="J108" s="791"/>
      <c r="K108" s="791"/>
      <c r="L108" s="33"/>
      <c r="M108" s="1524"/>
      <c r="N108" s="1525"/>
      <c r="O108" s="1526"/>
    </row>
    <row r="109" spans="3:15" ht="13" thickBot="1">
      <c r="C109" s="857">
        <v>3</v>
      </c>
      <c r="D109" s="957"/>
      <c r="E109" s="963"/>
      <c r="F109" s="963"/>
      <c r="G109" s="791"/>
      <c r="H109" s="791"/>
      <c r="I109" s="791"/>
      <c r="J109" s="791"/>
      <c r="K109" s="791"/>
      <c r="L109" s="33"/>
      <c r="M109" s="1524"/>
      <c r="N109" s="1525"/>
      <c r="O109" s="1526"/>
    </row>
    <row r="110" spans="3:15" ht="13" thickBot="1">
      <c r="C110" s="949">
        <v>4</v>
      </c>
      <c r="D110" s="1016" t="s">
        <v>873</v>
      </c>
      <c r="E110" s="809" t="e">
        <f>ABS(D110)</f>
        <v>#VALUE!</v>
      </c>
      <c r="F110" s="900" t="s">
        <v>1001</v>
      </c>
      <c r="G110" s="791"/>
      <c r="H110" s="791"/>
      <c r="I110" s="791"/>
      <c r="J110" s="791"/>
      <c r="K110" s="791"/>
      <c r="L110" s="33"/>
      <c r="M110" s="1527"/>
      <c r="N110" s="1528"/>
      <c r="O110" s="1529"/>
    </row>
    <row r="111" spans="3:15">
      <c r="C111" s="857">
        <v>5</v>
      </c>
      <c r="D111" s="963"/>
      <c r="E111" s="791"/>
      <c r="F111" s="791"/>
      <c r="G111" s="791"/>
      <c r="H111" s="791"/>
      <c r="I111" s="791"/>
      <c r="J111" s="791"/>
      <c r="K111" s="900"/>
      <c r="L111" s="33"/>
      <c r="M111" s="1310"/>
      <c r="N111" s="1311"/>
      <c r="O111" s="1311"/>
    </row>
    <row r="112" spans="3:15">
      <c r="C112" s="857">
        <f>C111+1</f>
        <v>6</v>
      </c>
      <c r="D112" s="791"/>
      <c r="E112" s="791"/>
      <c r="F112" s="791"/>
      <c r="G112" s="791"/>
      <c r="H112" s="791"/>
      <c r="I112" s="791"/>
      <c r="J112" s="791"/>
      <c r="K112" s="791"/>
      <c r="L112" s="33"/>
    </row>
    <row r="113" spans="3:15"/>
    <row r="114" spans="3:15">
      <c r="C114" s="1697" t="str">
        <f>back_to_index</f>
        <v>Back to contents</v>
      </c>
      <c r="D114" s="1697"/>
      <c r="G114" s="1530" t="str">
        <f>page_prefix &amp; page_fn_ABS&amp; page_suffix</f>
        <v>- Page 21 -</v>
      </c>
      <c r="H114" s="1530"/>
      <c r="I114" s="1530"/>
      <c r="J114" s="1481"/>
      <c r="K114" s="1481"/>
      <c r="N114" s="1698" t="str">
        <f>back_to_top</f>
        <v>Back to top</v>
      </c>
      <c r="O114" s="1698"/>
    </row>
    <row r="115" spans="3:15">
      <c r="G115" s="1530" t="str">
        <f>copyright</f>
        <v>Copyright (c) 2009 Tykoh Group Pty Limited</v>
      </c>
      <c r="H115" s="1530"/>
      <c r="I115" s="1530"/>
      <c r="J115" s="1481"/>
      <c r="K115" s="1481"/>
    </row>
    <row r="116" spans="3:15">
      <c r="G116" s="1452" t="str">
        <f>home_address</f>
        <v>www.tykoh.com</v>
      </c>
      <c r="H116" s="1452"/>
      <c r="I116" s="1452"/>
      <c r="J116" s="1452"/>
      <c r="K116" s="1452"/>
    </row>
    <row r="117" spans="3:15"/>
  </sheetData>
  <sheetProtection algorithmName="SHA-512" hashValue="QtHnIPg5TPV2IHUInkIdGbBRpzePBsKoXBFfs6vh16IUnPLfC7kyFVKO7vJo6dZ3ncda5shEItBDbCZ96vPQPw==" saltValue="NvR7RsW6fOcEnjU3kDXXoA==" spinCount="100000" sheet="1" objects="1" scenarios="1"/>
  <mergeCells count="27">
    <mergeCell ref="C65:O66"/>
    <mergeCell ref="C3:O3"/>
    <mergeCell ref="C38:O40"/>
    <mergeCell ref="C42:O44"/>
    <mergeCell ref="C46:O48"/>
    <mergeCell ref="C5:L7"/>
    <mergeCell ref="C14:O16"/>
    <mergeCell ref="C17:O19"/>
    <mergeCell ref="M4:O8"/>
    <mergeCell ref="G116:K116"/>
    <mergeCell ref="N114:O114"/>
    <mergeCell ref="G114:K114"/>
    <mergeCell ref="G115:K115"/>
    <mergeCell ref="M68:O72"/>
    <mergeCell ref="C77:O79"/>
    <mergeCell ref="C81:O84"/>
    <mergeCell ref="C95:O96"/>
    <mergeCell ref="C114:D114"/>
    <mergeCell ref="M106:O110"/>
    <mergeCell ref="C20:O21"/>
    <mergeCell ref="C59:O61"/>
    <mergeCell ref="C23:O24"/>
    <mergeCell ref="C26:O28"/>
    <mergeCell ref="C30:H30"/>
    <mergeCell ref="C32:O32"/>
    <mergeCell ref="C34:O35"/>
    <mergeCell ref="M50:O54"/>
  </mergeCells>
  <phoneticPr fontId="2" type="noConversion"/>
  <hyperlinks>
    <hyperlink ref="N114:O114" location="hh_fn_ABS" display="hh_fn_ABS" xr:uid="{00000000-0004-0000-2100-000000000000}"/>
    <hyperlink ref="C114:D114" location="hh_index" display="hh_index" xr:uid="{00000000-0004-0000-2100-000001000000}"/>
    <hyperlink ref="G116:K116" r:id="rId1" display="https://www.tykoh.com/" xr:uid="{00000000-0004-0000-2100-000002000000}"/>
  </hyperlinks>
  <pageMargins left="0.75" right="0.75" top="1" bottom="1" header="0.5" footer="0.5"/>
  <pageSetup paperSize="9" scale="70" fitToHeight="2" orientation="portrait" r:id="rId2"/>
  <headerFooter alignWithMargins="0"/>
  <rowBreaks count="1" manualBreakCount="1">
    <brk id="76" max="15" man="1"/>
  </rowBreak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2"/>
  <dimension ref="A1:O123"/>
  <sheetViews>
    <sheetView showGridLines="0" showRowColHeaders="0" topLeftCell="A109" zoomScaleNormal="100" workbookViewId="0">
      <selection activeCell="G122" sqref="G122:K122"/>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1:15">
      <c r="A1" s="32">
        <f ca="1">OFFSET(ads!A66,ads!W32,0)</f>
        <v>4</v>
      </c>
    </row>
    <row r="2" spans="1:15">
      <c r="B2" s="103"/>
      <c r="C2" s="103"/>
      <c r="D2" s="103"/>
      <c r="E2" s="103"/>
      <c r="F2" s="103"/>
      <c r="G2" s="103"/>
      <c r="H2" s="103"/>
      <c r="I2" s="103"/>
      <c r="J2" s="103"/>
      <c r="K2" s="103"/>
      <c r="L2" s="103"/>
      <c r="M2" s="103"/>
      <c r="N2" s="103"/>
      <c r="O2" s="103"/>
    </row>
    <row r="3" spans="1:15" ht="16" thickBot="1">
      <c r="B3" s="416" t="s">
        <v>1338</v>
      </c>
    </row>
    <row r="4" spans="1:15" ht="13" thickTop="1">
      <c r="M4" s="1521" t="str">
        <f ca="1">OFFSET(ad_first,OFFSET(ads_top,ROW(ads_fn_AND)-1,1),0)</f>
        <v>Feedback from our Spreadsheet skills course: "Excellent knowledge and clear communication from the presenter"</v>
      </c>
      <c r="N4" s="1522"/>
      <c r="O4" s="1523"/>
    </row>
    <row r="5" spans="1:15" ht="16.5" customHeight="1">
      <c r="C5" s="1517" t="s">
        <v>59</v>
      </c>
      <c r="D5" s="1517"/>
      <c r="E5" s="1517"/>
      <c r="F5" s="1517"/>
      <c r="G5" s="1517"/>
      <c r="H5" s="1517"/>
      <c r="I5" s="1517"/>
      <c r="J5" s="1517"/>
      <c r="K5" s="1517"/>
      <c r="L5" s="1517"/>
      <c r="M5" s="1524"/>
      <c r="N5" s="1525"/>
      <c r="O5" s="1526"/>
    </row>
    <row r="6" spans="1:15" ht="16.5" customHeight="1">
      <c r="C6" s="1517"/>
      <c r="D6" s="1517"/>
      <c r="E6" s="1517"/>
      <c r="F6" s="1517"/>
      <c r="G6" s="1517"/>
      <c r="H6" s="1517"/>
      <c r="I6" s="1517"/>
      <c r="J6" s="1517"/>
      <c r="K6" s="1517"/>
      <c r="L6" s="1517"/>
      <c r="M6" s="1524"/>
      <c r="N6" s="1525"/>
      <c r="O6" s="1526"/>
    </row>
    <row r="7" spans="1:15">
      <c r="M7" s="1524"/>
      <c r="N7" s="1525"/>
      <c r="O7" s="1526"/>
    </row>
    <row r="8" spans="1:15" ht="13" thickBot="1">
      <c r="C8" s="857"/>
      <c r="D8" s="857" t="s">
        <v>1363</v>
      </c>
      <c r="E8" s="857" t="s">
        <v>1364</v>
      </c>
      <c r="F8" s="857" t="s">
        <v>1473</v>
      </c>
      <c r="G8" s="857" t="s">
        <v>1474</v>
      </c>
      <c r="H8" s="857" t="s">
        <v>1475</v>
      </c>
      <c r="I8" s="857" t="s">
        <v>1476</v>
      </c>
      <c r="J8" s="857" t="s">
        <v>497</v>
      </c>
      <c r="K8" s="857" t="s">
        <v>1511</v>
      </c>
      <c r="M8" s="1527"/>
      <c r="N8" s="1528"/>
      <c r="O8" s="1529"/>
    </row>
    <row r="9" spans="1:15" ht="13" thickTop="1">
      <c r="C9" s="857">
        <v>1</v>
      </c>
      <c r="D9" s="791"/>
      <c r="E9" s="791"/>
      <c r="F9" s="791"/>
      <c r="G9" s="791"/>
      <c r="H9" s="791"/>
      <c r="I9" s="791"/>
      <c r="J9" s="791"/>
      <c r="K9" s="791"/>
      <c r="M9" s="1310"/>
      <c r="N9" s="1311"/>
      <c r="O9" s="1311"/>
    </row>
    <row r="10" spans="1:15">
      <c r="C10" s="857">
        <v>2</v>
      </c>
      <c r="D10" s="791" t="b">
        <f>AND(TRUE,TRUE)</f>
        <v>1</v>
      </c>
      <c r="E10" s="900" t="s">
        <v>60</v>
      </c>
      <c r="F10" s="791"/>
      <c r="G10" s="791"/>
      <c r="H10" s="791"/>
      <c r="I10" s="791"/>
      <c r="J10" s="791"/>
      <c r="K10" s="791"/>
    </row>
    <row r="11" spans="1:15">
      <c r="C11" s="857">
        <v>3</v>
      </c>
      <c r="D11" s="791"/>
      <c r="E11" s="791"/>
      <c r="F11" s="791"/>
      <c r="G11" s="791"/>
      <c r="H11" s="791"/>
      <c r="I11" s="791"/>
      <c r="J11" s="791"/>
      <c r="K11" s="791"/>
    </row>
    <row r="12" spans="1:15">
      <c r="C12" s="857">
        <v>4</v>
      </c>
      <c r="D12" s="791" t="b">
        <f>AND(TRUE,FALSE)</f>
        <v>0</v>
      </c>
      <c r="E12" s="900" t="s">
        <v>61</v>
      </c>
      <c r="F12" s="791"/>
      <c r="G12" s="791"/>
      <c r="H12" s="791"/>
      <c r="I12" s="791"/>
      <c r="J12" s="791"/>
      <c r="K12" s="791"/>
    </row>
    <row r="13" spans="1:15">
      <c r="C13" s="857">
        <v>5</v>
      </c>
      <c r="D13" s="791"/>
      <c r="E13" s="791"/>
      <c r="F13" s="791"/>
      <c r="G13" s="791"/>
      <c r="H13" s="791"/>
      <c r="I13" s="791"/>
      <c r="J13" s="791"/>
      <c r="K13" s="791"/>
    </row>
    <row r="14" spans="1:15">
      <c r="C14" s="857">
        <v>6</v>
      </c>
      <c r="D14" s="791" t="b">
        <f>AND(FALSE,FALSE)</f>
        <v>0</v>
      </c>
      <c r="E14" s="900" t="s">
        <v>62</v>
      </c>
      <c r="F14" s="791"/>
      <c r="G14" s="791"/>
      <c r="H14" s="791"/>
      <c r="I14" s="791"/>
      <c r="J14" s="791"/>
      <c r="K14" s="791"/>
    </row>
    <row r="15" spans="1:15">
      <c r="C15" s="857">
        <v>7</v>
      </c>
      <c r="D15" s="791"/>
      <c r="E15" s="791"/>
      <c r="F15" s="791"/>
      <c r="G15" s="791"/>
      <c r="H15" s="791"/>
      <c r="I15" s="791"/>
      <c r="J15" s="791"/>
      <c r="K15" s="791"/>
    </row>
    <row r="16" spans="1:15"/>
    <row r="17" spans="3:15" ht="16.5" customHeight="1">
      <c r="C17" s="1517" t="s">
        <v>233</v>
      </c>
      <c r="D17" s="1517"/>
      <c r="E17" s="1517"/>
      <c r="F17" s="1517"/>
      <c r="G17" s="1517"/>
      <c r="H17" s="1517"/>
      <c r="I17" s="1517"/>
      <c r="J17" s="1517"/>
      <c r="K17" s="1517"/>
      <c r="L17" s="1517"/>
      <c r="M17" s="1517"/>
      <c r="N17" s="1517"/>
      <c r="O17" s="1517"/>
    </row>
    <row r="18" spans="3:15" ht="16.5" customHeight="1" thickBot="1">
      <c r="C18" s="1517"/>
      <c r="D18" s="1517"/>
      <c r="E18" s="1517"/>
      <c r="F18" s="1517"/>
      <c r="G18" s="1517"/>
      <c r="H18" s="1517"/>
      <c r="I18" s="1517"/>
      <c r="J18" s="1517"/>
      <c r="K18" s="1517"/>
      <c r="L18" s="1517"/>
      <c r="M18" s="1517"/>
      <c r="N18" s="1517"/>
      <c r="O18" s="1517"/>
    </row>
    <row r="19" spans="3:15" ht="13.5" thickTop="1" thickBot="1">
      <c r="C19" s="857"/>
      <c r="D19" s="948" t="s">
        <v>1363</v>
      </c>
      <c r="E19" s="857" t="s">
        <v>1364</v>
      </c>
      <c r="F19" s="948" t="s">
        <v>1473</v>
      </c>
      <c r="G19" s="857" t="s">
        <v>1474</v>
      </c>
      <c r="H19" s="948" t="s">
        <v>1475</v>
      </c>
      <c r="I19" s="857" t="s">
        <v>1476</v>
      </c>
      <c r="J19" s="857" t="s">
        <v>497</v>
      </c>
      <c r="K19" s="857" t="s">
        <v>1511</v>
      </c>
      <c r="M19" s="1545" t="str">
        <f ca="1">OFFSET(ad_first,OFFSET(ads_top,ROW(ads_fn_AND)-1,2),0)</f>
        <v>Our Visual Basic course shows how to increase the "wow-factor" of your developed applications</v>
      </c>
      <c r="N19" s="1689"/>
      <c r="O19" s="1690"/>
    </row>
    <row r="20" spans="3:15" ht="13" thickBot="1">
      <c r="C20" s="949">
        <v>1</v>
      </c>
      <c r="D20" s="979" t="b">
        <v>1</v>
      </c>
      <c r="E20" s="1052"/>
      <c r="F20" s="1009" t="b">
        <v>1</v>
      </c>
      <c r="G20" s="1052"/>
      <c r="H20" s="1156" t="b">
        <v>0</v>
      </c>
      <c r="I20" s="809"/>
      <c r="J20" s="791"/>
      <c r="K20" s="791"/>
      <c r="M20" s="1691"/>
      <c r="N20" s="1692"/>
      <c r="O20" s="1693"/>
    </row>
    <row r="21" spans="3:15">
      <c r="C21" s="857">
        <v>2</v>
      </c>
      <c r="D21" s="963"/>
      <c r="E21" s="791"/>
      <c r="F21" s="963"/>
      <c r="G21" s="791"/>
      <c r="H21" s="963"/>
      <c r="I21" s="791"/>
      <c r="J21" s="791"/>
      <c r="K21" s="791"/>
      <c r="M21" s="1691"/>
      <c r="N21" s="1692"/>
      <c r="O21" s="1693"/>
    </row>
    <row r="22" spans="3:15">
      <c r="C22" s="857">
        <v>3</v>
      </c>
      <c r="D22" s="791"/>
      <c r="E22" s="791"/>
      <c r="F22" s="791"/>
      <c r="G22" s="791"/>
      <c r="H22" s="791"/>
      <c r="I22" s="791"/>
      <c r="J22" s="791"/>
      <c r="K22" s="791"/>
      <c r="M22" s="1691"/>
      <c r="N22" s="1692"/>
      <c r="O22" s="1693"/>
    </row>
    <row r="23" spans="3:15" ht="13" thickBot="1">
      <c r="C23" s="857">
        <v>4</v>
      </c>
      <c r="D23" s="796" t="b">
        <f>AND(D20,F20,H20)</f>
        <v>0</v>
      </c>
      <c r="E23" s="900" t="s">
        <v>232</v>
      </c>
      <c r="F23" s="791"/>
      <c r="G23" s="791"/>
      <c r="H23" s="791"/>
      <c r="I23" s="791"/>
      <c r="J23" s="791"/>
      <c r="K23" s="791"/>
      <c r="M23" s="1694"/>
      <c r="N23" s="1695"/>
      <c r="O23" s="1696"/>
    </row>
    <row r="24" spans="3:15" ht="13" thickTop="1">
      <c r="C24" s="857">
        <v>5</v>
      </c>
      <c r="D24" s="791"/>
      <c r="E24" s="791"/>
      <c r="F24" s="791"/>
      <c r="G24" s="791"/>
      <c r="H24" s="791"/>
      <c r="I24" s="791"/>
      <c r="J24" s="791"/>
      <c r="K24" s="791"/>
    </row>
    <row r="25" spans="3:15"/>
    <row r="26" spans="3:15" ht="13">
      <c r="C26" s="772" t="s">
        <v>68</v>
      </c>
    </row>
    <row r="27" spans="3:15" ht="13">
      <c r="C27" s="772"/>
    </row>
    <row r="28" spans="3:15">
      <c r="C28" s="1517" t="s">
        <v>234</v>
      </c>
      <c r="D28" s="1517"/>
      <c r="E28" s="1517"/>
      <c r="F28" s="1517"/>
      <c r="G28" s="1517"/>
      <c r="H28" s="1517"/>
      <c r="I28" s="1517"/>
      <c r="J28" s="1517"/>
      <c r="K28" s="1517"/>
      <c r="L28" s="1517"/>
      <c r="M28" s="1517"/>
      <c r="N28" s="1517"/>
      <c r="O28" s="1517"/>
    </row>
    <row r="29" spans="3:15" ht="21" customHeight="1">
      <c r="C29" s="1517"/>
      <c r="D29" s="1517"/>
      <c r="E29" s="1517"/>
      <c r="F29" s="1517"/>
      <c r="G29" s="1517"/>
      <c r="H29" s="1517"/>
      <c r="I29" s="1517"/>
      <c r="J29" s="1517"/>
      <c r="K29" s="1517"/>
      <c r="L29" s="1517"/>
      <c r="M29" s="1517"/>
      <c r="N29" s="1517"/>
      <c r="O29" s="1517"/>
    </row>
    <row r="30" spans="3:15">
      <c r="C30" s="263"/>
      <c r="D30" s="263"/>
      <c r="E30" s="263"/>
      <c r="F30" s="263"/>
      <c r="G30" s="263"/>
      <c r="H30" s="263"/>
      <c r="I30" s="263"/>
      <c r="J30" s="263"/>
      <c r="K30" s="263"/>
      <c r="L30" s="263"/>
      <c r="M30" s="263"/>
      <c r="N30" s="263"/>
      <c r="O30" s="263"/>
    </row>
    <row r="31" spans="3:15" ht="13" thickBot="1">
      <c r="C31" s="857"/>
      <c r="D31" s="857" t="s">
        <v>1363</v>
      </c>
      <c r="E31" s="857" t="s">
        <v>1364</v>
      </c>
      <c r="F31" s="857" t="s">
        <v>1473</v>
      </c>
      <c r="G31" s="857" t="s">
        <v>1474</v>
      </c>
      <c r="H31" s="948" t="s">
        <v>1475</v>
      </c>
      <c r="I31" s="857" t="s">
        <v>1476</v>
      </c>
      <c r="J31" s="948" t="s">
        <v>497</v>
      </c>
      <c r="K31" s="857" t="s">
        <v>1511</v>
      </c>
    </row>
    <row r="32" spans="3:15" ht="13" thickBot="1">
      <c r="C32" s="857">
        <v>1</v>
      </c>
      <c r="D32" s="791" t="b">
        <f>H32&lt;J32</f>
        <v>1</v>
      </c>
      <c r="E32" s="900" t="s">
        <v>66</v>
      </c>
      <c r="F32" s="791"/>
      <c r="G32" s="1018"/>
      <c r="H32" s="1019">
        <v>5</v>
      </c>
      <c r="I32" s="1052"/>
      <c r="J32" s="1016">
        <v>7</v>
      </c>
      <c r="K32" s="809"/>
    </row>
    <row r="33" spans="3:15" ht="13" thickBot="1">
      <c r="C33" s="857">
        <v>2</v>
      </c>
      <c r="D33" s="791"/>
      <c r="E33" s="791"/>
      <c r="F33" s="791"/>
      <c r="G33" s="791"/>
      <c r="H33" s="957"/>
      <c r="I33" s="791"/>
      <c r="J33" s="957"/>
      <c r="K33" s="791"/>
    </row>
    <row r="34" spans="3:15" ht="13" thickBot="1">
      <c r="C34" s="857">
        <v>3</v>
      </c>
      <c r="D34" s="791" t="b">
        <f>H34&gt;J34</f>
        <v>0</v>
      </c>
      <c r="E34" s="900" t="s">
        <v>67</v>
      </c>
      <c r="F34" s="791"/>
      <c r="G34" s="1018"/>
      <c r="H34" s="811">
        <v>5</v>
      </c>
      <c r="I34" s="1052"/>
      <c r="J34" s="1062">
        <v>7</v>
      </c>
      <c r="K34" s="809"/>
    </row>
    <row r="35" spans="3:15">
      <c r="C35" s="857">
        <v>4</v>
      </c>
      <c r="D35" s="791"/>
      <c r="E35" s="791"/>
      <c r="F35" s="791"/>
      <c r="G35" s="791"/>
      <c r="H35" s="963"/>
      <c r="I35" s="791"/>
      <c r="J35" s="963"/>
      <c r="K35" s="791"/>
    </row>
    <row r="36" spans="3:15"/>
    <row r="37" spans="3:15">
      <c r="C37" s="1517" t="s">
        <v>102</v>
      </c>
      <c r="D37" s="1517"/>
      <c r="E37" s="1517"/>
      <c r="F37" s="1517"/>
      <c r="G37" s="1517"/>
      <c r="H37" s="1517"/>
      <c r="I37" s="1517"/>
      <c r="J37" s="1517"/>
      <c r="K37" s="1517"/>
      <c r="L37" s="1517"/>
      <c r="M37" s="1517"/>
      <c r="N37" s="1517"/>
      <c r="O37" s="1517"/>
    </row>
    <row r="38" spans="3:15">
      <c r="C38" s="1517"/>
      <c r="D38" s="1517"/>
      <c r="E38" s="1517"/>
      <c r="F38" s="1517"/>
      <c r="G38" s="1517"/>
      <c r="H38" s="1517"/>
      <c r="I38" s="1517"/>
      <c r="J38" s="1517"/>
      <c r="K38" s="1517"/>
      <c r="L38" s="1517"/>
      <c r="M38" s="1517"/>
      <c r="N38" s="1517"/>
      <c r="O38" s="1517"/>
    </row>
    <row r="39" spans="3:15" ht="21.75" customHeight="1">
      <c r="C39" s="1517"/>
      <c r="D39" s="1517"/>
      <c r="E39" s="1517"/>
      <c r="F39" s="1517"/>
      <c r="G39" s="1517"/>
      <c r="H39" s="1517"/>
      <c r="I39" s="1517"/>
      <c r="J39" s="1517"/>
      <c r="K39" s="1517"/>
      <c r="L39" s="1517"/>
      <c r="M39" s="1517"/>
      <c r="N39" s="1517"/>
      <c r="O39" s="1517"/>
    </row>
    <row r="40" spans="3:15"/>
    <row r="41" spans="3:15">
      <c r="C41" s="1585" t="s">
        <v>106</v>
      </c>
      <c r="D41" s="1585"/>
      <c r="E41" s="1585"/>
      <c r="F41" s="1585"/>
      <c r="G41" s="1585"/>
      <c r="H41" s="1585"/>
      <c r="I41" s="1585"/>
      <c r="J41" s="1585"/>
      <c r="K41" s="1585"/>
      <c r="L41" s="1585"/>
      <c r="M41" s="1585"/>
      <c r="N41" s="1585"/>
      <c r="O41" s="1585"/>
    </row>
    <row r="42" spans="3:15">
      <c r="C42" s="1585"/>
      <c r="D42" s="1585"/>
      <c r="E42" s="1585"/>
      <c r="F42" s="1585"/>
      <c r="G42" s="1585"/>
      <c r="H42" s="1585"/>
      <c r="I42" s="1585"/>
      <c r="J42" s="1585"/>
      <c r="K42" s="1585"/>
      <c r="L42" s="1585"/>
      <c r="M42" s="1585"/>
      <c r="N42" s="1585"/>
      <c r="O42" s="1585"/>
    </row>
    <row r="43" spans="3:15" ht="13" thickBot="1"/>
    <row r="44" spans="3:15" ht="13.5" thickTop="1" thickBot="1">
      <c r="C44" s="857"/>
      <c r="D44" s="857" t="s">
        <v>1363</v>
      </c>
      <c r="E44" s="857" t="s">
        <v>1364</v>
      </c>
      <c r="F44" s="857" t="s">
        <v>1473</v>
      </c>
      <c r="G44" s="857" t="s">
        <v>1474</v>
      </c>
      <c r="H44" s="948" t="s">
        <v>1475</v>
      </c>
      <c r="I44" s="857" t="s">
        <v>1476</v>
      </c>
      <c r="J44" s="948" t="s">
        <v>497</v>
      </c>
      <c r="K44" s="857" t="s">
        <v>1511</v>
      </c>
      <c r="M44" s="1521" t="str">
        <f ca="1">OFFSET(ad_first,OFFSET(ads_top,ROW(ads_fn_AND)-1,3),0)</f>
        <v>Feedback from our Spreadsheet skills course: "Excellent knowledge and clear communication from the presenter"</v>
      </c>
      <c r="N44" s="1522"/>
      <c r="O44" s="1523"/>
    </row>
    <row r="45" spans="3:15" ht="13" thickBot="1">
      <c r="C45" s="857">
        <v>1</v>
      </c>
      <c r="D45" s="791" t="b">
        <f>H45&lt;J45</f>
        <v>1</v>
      </c>
      <c r="E45" s="900" t="s">
        <v>66</v>
      </c>
      <c r="F45" s="791"/>
      <c r="G45" s="1018"/>
      <c r="H45" s="1019" t="s">
        <v>901</v>
      </c>
      <c r="I45" s="1052"/>
      <c r="J45" s="1016" t="s">
        <v>897</v>
      </c>
      <c r="K45" s="809"/>
      <c r="M45" s="1524"/>
      <c r="N45" s="1525"/>
      <c r="O45" s="1526"/>
    </row>
    <row r="46" spans="3:15" ht="13" thickBot="1">
      <c r="C46" s="857">
        <v>2</v>
      </c>
      <c r="D46" s="791"/>
      <c r="E46" s="791"/>
      <c r="F46" s="791"/>
      <c r="G46" s="791"/>
      <c r="H46" s="957"/>
      <c r="I46" s="791"/>
      <c r="J46" s="957"/>
      <c r="K46" s="791"/>
      <c r="M46" s="1524"/>
      <c r="N46" s="1525"/>
      <c r="O46" s="1526"/>
    </row>
    <row r="47" spans="3:15" ht="13" thickBot="1">
      <c r="C47" s="857">
        <v>3</v>
      </c>
      <c r="D47" s="791" t="b">
        <f>H47&lt;J47</f>
        <v>1</v>
      </c>
      <c r="E47" s="900" t="s">
        <v>105</v>
      </c>
      <c r="F47" s="791"/>
      <c r="G47" s="1018"/>
      <c r="H47" s="811" t="s">
        <v>103</v>
      </c>
      <c r="I47" s="1052"/>
      <c r="J47" s="1062" t="s">
        <v>104</v>
      </c>
      <c r="K47" s="809"/>
      <c r="M47" s="1524"/>
      <c r="N47" s="1525"/>
      <c r="O47" s="1526"/>
    </row>
    <row r="48" spans="3:15" ht="13" thickBot="1">
      <c r="C48" s="857">
        <v>4</v>
      </c>
      <c r="D48" s="791"/>
      <c r="E48" s="791"/>
      <c r="F48" s="791"/>
      <c r="G48" s="791"/>
      <c r="H48" s="957"/>
      <c r="I48" s="791"/>
      <c r="J48" s="957"/>
      <c r="K48" s="791"/>
      <c r="M48" s="1527"/>
      <c r="N48" s="1528"/>
      <c r="O48" s="1529"/>
    </row>
    <row r="49" spans="3:15" ht="13.5" thickTop="1" thickBot="1">
      <c r="C49" s="857">
        <v>5</v>
      </c>
      <c r="D49" s="791" t="b">
        <f>H49&lt;J49</f>
        <v>0</v>
      </c>
      <c r="E49" s="900" t="s">
        <v>107</v>
      </c>
      <c r="F49" s="791"/>
      <c r="G49" s="1018"/>
      <c r="H49" s="1114" t="s">
        <v>900</v>
      </c>
      <c r="I49" s="1052"/>
      <c r="J49" s="1115">
        <v>45</v>
      </c>
      <c r="K49" s="809"/>
      <c r="M49" s="1310"/>
      <c r="N49" s="1311"/>
      <c r="O49" s="1311"/>
    </row>
    <row r="50" spans="3:15">
      <c r="C50" s="857">
        <v>7</v>
      </c>
      <c r="D50" s="791"/>
      <c r="E50" s="791"/>
      <c r="F50" s="791"/>
      <c r="G50" s="791"/>
      <c r="H50" s="963"/>
      <c r="I50" s="791"/>
      <c r="J50" s="963"/>
      <c r="K50" s="791"/>
    </row>
    <row r="51" spans="3:15"/>
    <row r="52" spans="3:15">
      <c r="C52" s="1585" t="s">
        <v>108</v>
      </c>
      <c r="D52" s="1585"/>
      <c r="E52" s="1585"/>
      <c r="F52" s="1585"/>
      <c r="G52" s="1585"/>
      <c r="H52" s="1585"/>
      <c r="I52" s="1585"/>
      <c r="J52" s="1585"/>
      <c r="K52" s="1585"/>
      <c r="L52" s="1585"/>
      <c r="M52" s="1585"/>
      <c r="N52" s="1585"/>
      <c r="O52" s="1585"/>
    </row>
    <row r="53" spans="3:15">
      <c r="C53" s="1585"/>
      <c r="D53" s="1585"/>
      <c r="E53" s="1585"/>
      <c r="F53" s="1585"/>
      <c r="G53" s="1585"/>
      <c r="H53" s="1585"/>
      <c r="I53" s="1585"/>
      <c r="J53" s="1585"/>
      <c r="K53" s="1585"/>
      <c r="L53" s="1585"/>
      <c r="M53" s="1585"/>
      <c r="N53" s="1585"/>
      <c r="O53" s="1585"/>
    </row>
    <row r="54" spans="3:15"/>
    <row r="55" spans="3:15">
      <c r="C55" s="1585" t="s">
        <v>112</v>
      </c>
      <c r="D55" s="1585"/>
      <c r="E55" s="1585"/>
      <c r="F55" s="1585"/>
      <c r="G55" s="1585"/>
      <c r="H55" s="1585"/>
      <c r="I55" s="1585"/>
      <c r="J55" s="1585"/>
      <c r="K55" s="1585"/>
      <c r="L55" s="1585"/>
      <c r="M55" s="1585"/>
      <c r="N55" s="1585"/>
      <c r="O55" s="1585"/>
    </row>
    <row r="56" spans="3:15">
      <c r="C56" s="1585"/>
      <c r="D56" s="1585"/>
      <c r="E56" s="1585"/>
      <c r="F56" s="1585"/>
      <c r="G56" s="1585"/>
      <c r="H56" s="1585"/>
      <c r="I56" s="1585"/>
      <c r="J56" s="1585"/>
      <c r="K56" s="1585"/>
      <c r="L56" s="1585"/>
      <c r="M56" s="1585"/>
      <c r="N56" s="1585"/>
      <c r="O56" s="1585"/>
    </row>
    <row r="57" spans="3:15"/>
    <row r="58" spans="3:15" ht="13.5" customHeight="1">
      <c r="C58" s="857"/>
      <c r="D58" s="857" t="s">
        <v>1363</v>
      </c>
      <c r="E58" s="857" t="s">
        <v>1364</v>
      </c>
      <c r="F58" s="857" t="s">
        <v>1473</v>
      </c>
      <c r="G58" s="857" t="s">
        <v>1474</v>
      </c>
      <c r="H58" s="857" t="s">
        <v>1475</v>
      </c>
      <c r="I58" s="857" t="s">
        <v>1476</v>
      </c>
      <c r="J58" s="857" t="s">
        <v>497</v>
      </c>
      <c r="K58" s="857" t="s">
        <v>1511</v>
      </c>
      <c r="L58" s="857" t="s">
        <v>1512</v>
      </c>
    </row>
    <row r="59" spans="3:15" ht="13" thickBot="1">
      <c r="C59" s="857">
        <v>1</v>
      </c>
      <c r="D59" s="791"/>
      <c r="E59" s="791"/>
      <c r="F59" s="791"/>
      <c r="G59" s="791"/>
      <c r="H59" s="1113" t="s">
        <v>953</v>
      </c>
      <c r="I59" s="791"/>
      <c r="J59" s="1113" t="s">
        <v>954</v>
      </c>
      <c r="K59" s="791"/>
      <c r="L59" s="1113" t="s">
        <v>739</v>
      </c>
    </row>
    <row r="60" spans="3:15" ht="13" thickBot="1">
      <c r="C60" s="857">
        <v>2</v>
      </c>
      <c r="D60" s="791" t="b">
        <f>AND(H60&lt;J60,J60&lt;L60)</f>
        <v>1</v>
      </c>
      <c r="E60" s="900" t="s">
        <v>63</v>
      </c>
      <c r="F60" s="791"/>
      <c r="G60" s="1018"/>
      <c r="H60" s="1019">
        <v>3</v>
      </c>
      <c r="I60" s="1052"/>
      <c r="J60" s="1016">
        <v>7</v>
      </c>
      <c r="K60" s="1052"/>
      <c r="L60" s="811">
        <v>9</v>
      </c>
    </row>
    <row r="61" spans="3:15" ht="13" thickBot="1">
      <c r="C61" s="857">
        <v>3</v>
      </c>
      <c r="D61" s="791"/>
      <c r="E61" s="791"/>
      <c r="F61" s="791"/>
      <c r="G61" s="791"/>
      <c r="H61" s="957"/>
      <c r="I61" s="791"/>
      <c r="J61" s="957"/>
      <c r="K61" s="791"/>
      <c r="L61" s="957"/>
    </row>
    <row r="62" spans="3:15" ht="13" thickBot="1">
      <c r="C62" s="857">
        <v>4</v>
      </c>
      <c r="D62" s="791" t="b">
        <f>AND(H62&lt;J62,J62&lt;L62)</f>
        <v>0</v>
      </c>
      <c r="E62" s="900" t="s">
        <v>64</v>
      </c>
      <c r="F62" s="791"/>
      <c r="G62" s="1018"/>
      <c r="H62" s="1062">
        <v>3</v>
      </c>
      <c r="I62" s="1052"/>
      <c r="J62" s="1114">
        <v>9</v>
      </c>
      <c r="K62" s="1052"/>
      <c r="L62" s="1115">
        <v>7</v>
      </c>
    </row>
    <row r="63" spans="3:15" ht="13" thickBot="1">
      <c r="C63" s="857">
        <v>5</v>
      </c>
      <c r="D63" s="791"/>
      <c r="E63" s="791"/>
      <c r="F63" s="791"/>
      <c r="G63" s="791"/>
      <c r="H63" s="957"/>
      <c r="I63" s="791"/>
      <c r="J63" s="957"/>
      <c r="K63" s="791"/>
      <c r="L63" s="957"/>
    </row>
    <row r="64" spans="3:15" ht="13" thickBot="1">
      <c r="C64" s="857">
        <v>6</v>
      </c>
      <c r="D64" s="791" t="b">
        <f>AND(H64&lt;J64,J64&lt;L64)</f>
        <v>0</v>
      </c>
      <c r="E64" s="900" t="s">
        <v>65</v>
      </c>
      <c r="F64" s="791"/>
      <c r="G64" s="1018"/>
      <c r="H64" s="1019">
        <v>9</v>
      </c>
      <c r="I64" s="1052"/>
      <c r="J64" s="1016">
        <v>3</v>
      </c>
      <c r="K64" s="1052"/>
      <c r="L64" s="811">
        <v>7</v>
      </c>
    </row>
    <row r="65" spans="3:15">
      <c r="C65" s="857">
        <v>7</v>
      </c>
      <c r="D65" s="791"/>
      <c r="E65" s="791"/>
      <c r="F65" s="791"/>
      <c r="G65" s="791"/>
      <c r="H65" s="963"/>
      <c r="I65" s="791"/>
      <c r="J65" s="963"/>
      <c r="K65" s="791"/>
      <c r="L65" s="963"/>
    </row>
    <row r="66" spans="3:15"/>
    <row r="67" spans="3:15">
      <c r="C67" s="1585" t="s">
        <v>113</v>
      </c>
      <c r="D67" s="1585"/>
      <c r="E67" s="1585"/>
      <c r="F67" s="1585"/>
      <c r="G67" s="1585"/>
      <c r="H67" s="1585"/>
      <c r="I67" s="1585"/>
      <c r="J67" s="1585"/>
      <c r="K67" s="1585"/>
      <c r="L67" s="1585"/>
      <c r="M67" s="1585"/>
      <c r="N67" s="1585"/>
      <c r="O67" s="1585"/>
    </row>
    <row r="68" spans="3:15">
      <c r="C68" s="1585"/>
      <c r="D68" s="1585"/>
      <c r="E68" s="1585"/>
      <c r="F68" s="1585"/>
      <c r="G68" s="1585"/>
      <c r="H68" s="1585"/>
      <c r="I68" s="1585"/>
      <c r="J68" s="1585"/>
      <c r="K68" s="1585"/>
      <c r="L68" s="1585"/>
      <c r="M68" s="1585"/>
      <c r="N68" s="1585"/>
      <c r="O68" s="1585"/>
    </row>
    <row r="69" spans="3:15" ht="13" thickBot="1"/>
    <row r="70" spans="3:15" ht="13" thickTop="1">
      <c r="C70" s="857"/>
      <c r="D70" s="857" t="s">
        <v>1363</v>
      </c>
      <c r="E70" s="857" t="s">
        <v>1364</v>
      </c>
      <c r="F70" s="857" t="s">
        <v>1473</v>
      </c>
      <c r="G70" s="857" t="s">
        <v>1474</v>
      </c>
      <c r="H70" s="857" t="s">
        <v>1475</v>
      </c>
      <c r="I70" s="857" t="s">
        <v>1476</v>
      </c>
      <c r="J70" s="857" t="s">
        <v>497</v>
      </c>
      <c r="K70" s="857" t="s">
        <v>1511</v>
      </c>
      <c r="M70" s="1545" t="str">
        <f ca="1">OFFSET(ad_first,OFFSET(ads_top,ROW(ads_fn_AND)-1,4),0)</f>
        <v>We can tailor courses to specific audiences - e.g. audiences with a derivatives focus.</v>
      </c>
      <c r="N70" s="1689"/>
      <c r="O70" s="1690"/>
    </row>
    <row r="71" spans="3:15" ht="13" thickBot="1">
      <c r="C71" s="857">
        <v>1</v>
      </c>
      <c r="D71" s="791"/>
      <c r="E71" s="958">
        <v>2008</v>
      </c>
      <c r="F71" s="958">
        <v>2009</v>
      </c>
      <c r="G71" s="791"/>
      <c r="H71" s="791"/>
      <c r="I71" s="791"/>
      <c r="J71" s="791"/>
      <c r="K71" s="791"/>
      <c r="M71" s="1691"/>
      <c r="N71" s="1692"/>
      <c r="O71" s="1693"/>
    </row>
    <row r="72" spans="3:15" ht="13" thickBot="1">
      <c r="C72" s="857">
        <v>2</v>
      </c>
      <c r="D72" s="1018" t="s">
        <v>1598</v>
      </c>
      <c r="E72" s="1049">
        <v>15</v>
      </c>
      <c r="F72" s="1062">
        <v>18</v>
      </c>
      <c r="G72" s="809"/>
      <c r="H72" s="791"/>
      <c r="I72" s="791"/>
      <c r="J72" s="791"/>
      <c r="K72" s="791"/>
      <c r="M72" s="1691"/>
      <c r="N72" s="1692"/>
      <c r="O72" s="1693"/>
    </row>
    <row r="73" spans="3:15" ht="13" thickBot="1">
      <c r="C73" s="857">
        <v>3</v>
      </c>
      <c r="D73" s="791"/>
      <c r="E73" s="957"/>
      <c r="F73" s="957"/>
      <c r="G73" s="791"/>
      <c r="H73" s="791"/>
      <c r="I73" s="791"/>
      <c r="J73" s="791"/>
      <c r="K73" s="791"/>
      <c r="M73" s="1691"/>
      <c r="N73" s="1692"/>
      <c r="O73" s="1693"/>
    </row>
    <row r="74" spans="3:15" ht="13" thickBot="1">
      <c r="C74" s="857">
        <v>4</v>
      </c>
      <c r="D74" s="1018" t="s">
        <v>1599</v>
      </c>
      <c r="E74" s="1013">
        <v>14</v>
      </c>
      <c r="F74" s="1156">
        <v>17</v>
      </c>
      <c r="G74" s="809"/>
      <c r="H74" s="791"/>
      <c r="I74" s="791"/>
      <c r="J74" s="791"/>
      <c r="K74" s="791"/>
      <c r="M74" s="1694"/>
      <c r="N74" s="1695"/>
      <c r="O74" s="1696"/>
    </row>
    <row r="75" spans="3:15">
      <c r="C75" s="857">
        <v>5</v>
      </c>
      <c r="D75" s="791"/>
      <c r="E75" s="963"/>
      <c r="F75" s="963"/>
      <c r="G75" s="791"/>
      <c r="H75" s="791"/>
      <c r="I75" s="791"/>
      <c r="J75" s="791"/>
      <c r="K75" s="791"/>
    </row>
    <row r="76" spans="3:15">
      <c r="C76" s="857">
        <v>6</v>
      </c>
      <c r="D76" s="791" t="s">
        <v>44</v>
      </c>
      <c r="E76" s="791"/>
      <c r="F76" s="791"/>
      <c r="G76" s="796" t="b">
        <f>AND(E74&lt;=E72,F74&lt;=F72)</f>
        <v>1</v>
      </c>
      <c r="H76" s="900" t="s">
        <v>1010</v>
      </c>
      <c r="I76" s="791"/>
      <c r="J76" s="791"/>
      <c r="K76" s="791"/>
    </row>
    <row r="77" spans="3:15">
      <c r="C77" s="857">
        <v>7</v>
      </c>
      <c r="D77" s="791"/>
      <c r="E77" s="791"/>
      <c r="F77" s="791"/>
      <c r="G77" s="791"/>
      <c r="H77" s="791"/>
      <c r="I77" s="791"/>
      <c r="J77" s="791"/>
      <c r="K77" s="791"/>
    </row>
    <row r="78" spans="3:15"/>
    <row r="79" spans="3:15">
      <c r="C79" s="1585" t="s">
        <v>481</v>
      </c>
      <c r="D79" s="1585"/>
      <c r="E79" s="1585"/>
      <c r="F79" s="1585"/>
      <c r="G79" s="1585"/>
      <c r="H79" s="1585"/>
      <c r="I79" s="1585"/>
      <c r="J79" s="1585"/>
      <c r="K79" s="1585"/>
      <c r="L79" s="1585"/>
      <c r="M79" s="1585"/>
      <c r="N79" s="1585"/>
      <c r="O79" s="1585"/>
    </row>
    <row r="80" spans="3:15">
      <c r="C80" s="1585"/>
      <c r="D80" s="1585"/>
      <c r="E80" s="1585"/>
      <c r="F80" s="1585"/>
      <c r="G80" s="1585"/>
      <c r="H80" s="1585"/>
      <c r="I80" s="1585"/>
      <c r="J80" s="1585"/>
      <c r="K80" s="1585"/>
      <c r="L80" s="1585"/>
      <c r="M80" s="1585"/>
      <c r="N80" s="1585"/>
      <c r="O80" s="1585"/>
    </row>
    <row r="81" spans="3:15" ht="13" thickBot="1"/>
    <row r="82" spans="3:15" ht="13" thickTop="1">
      <c r="C82" s="857"/>
      <c r="D82" s="857" t="s">
        <v>1363</v>
      </c>
      <c r="E82" s="857" t="s">
        <v>1364</v>
      </c>
      <c r="F82" s="857" t="s">
        <v>1473</v>
      </c>
      <c r="G82" s="857" t="s">
        <v>1474</v>
      </c>
      <c r="H82" s="857" t="s">
        <v>1475</v>
      </c>
      <c r="I82" s="857" t="s">
        <v>1476</v>
      </c>
      <c r="J82" s="857" t="s">
        <v>497</v>
      </c>
      <c r="K82" s="857" t="s">
        <v>1511</v>
      </c>
      <c r="M82" s="1521" t="str">
        <f ca="1">OFFSET(ad_first,OFFSET(ads_top,ROW(ads_fn_AND)-1,5),0)</f>
        <v>We can provide a mix of classroom, internet and self learning teaching.</v>
      </c>
      <c r="N82" s="1522"/>
      <c r="O82" s="1523"/>
    </row>
    <row r="83" spans="3:15" ht="13" thickBot="1">
      <c r="C83" s="857">
        <v>1</v>
      </c>
      <c r="D83" s="791"/>
      <c r="E83" s="958">
        <v>2008</v>
      </c>
      <c r="F83" s="958">
        <v>2009</v>
      </c>
      <c r="G83" s="791"/>
      <c r="H83" s="791"/>
      <c r="I83" s="791"/>
      <c r="J83" s="791"/>
      <c r="K83" s="791"/>
      <c r="M83" s="1524"/>
      <c r="N83" s="1525"/>
      <c r="O83" s="1526"/>
    </row>
    <row r="84" spans="3:15" ht="13" thickBot="1">
      <c r="C84" s="857">
        <v>2</v>
      </c>
      <c r="D84" s="1018" t="s">
        <v>1598</v>
      </c>
      <c r="E84" s="1049">
        <v>15</v>
      </c>
      <c r="F84" s="1062">
        <v>18</v>
      </c>
      <c r="G84" s="809"/>
      <c r="H84" s="791"/>
      <c r="I84" s="791"/>
      <c r="J84" s="791"/>
      <c r="K84" s="791"/>
      <c r="M84" s="1524"/>
      <c r="N84" s="1525"/>
      <c r="O84" s="1526"/>
    </row>
    <row r="85" spans="3:15" ht="13" thickBot="1">
      <c r="C85" s="857">
        <v>3</v>
      </c>
      <c r="D85" s="791"/>
      <c r="E85" s="957"/>
      <c r="F85" s="957"/>
      <c r="G85" s="791"/>
      <c r="H85" s="791"/>
      <c r="I85" s="791"/>
      <c r="J85" s="791"/>
      <c r="K85" s="791"/>
      <c r="M85" s="1524"/>
      <c r="N85" s="1525"/>
      <c r="O85" s="1526"/>
    </row>
    <row r="86" spans="3:15" ht="13" thickBot="1">
      <c r="C86" s="857">
        <v>4</v>
      </c>
      <c r="D86" s="1018" t="s">
        <v>1599</v>
      </c>
      <c r="E86" s="1053">
        <v>14</v>
      </c>
      <c r="F86" s="1156">
        <v>19</v>
      </c>
      <c r="G86" s="809"/>
      <c r="H86" s="791"/>
      <c r="I86" s="791"/>
      <c r="J86" s="791"/>
      <c r="K86" s="791"/>
      <c r="M86" s="1527"/>
      <c r="N86" s="1528"/>
      <c r="O86" s="1529"/>
    </row>
    <row r="87" spans="3:15">
      <c r="C87" s="857">
        <v>5</v>
      </c>
      <c r="D87" s="791"/>
      <c r="E87" s="963"/>
      <c r="F87" s="963"/>
      <c r="G87" s="791"/>
      <c r="H87" s="791"/>
      <c r="I87" s="791"/>
      <c r="J87" s="791"/>
      <c r="K87" s="791"/>
      <c r="M87" s="1310"/>
      <c r="N87" s="1311"/>
      <c r="O87" s="1311"/>
    </row>
    <row r="88" spans="3:15">
      <c r="C88" s="857">
        <v>6</v>
      </c>
      <c r="D88" s="791" t="s">
        <v>44</v>
      </c>
      <c r="E88" s="791"/>
      <c r="F88" s="796" t="str">
        <f>IF(AND(E86&lt;=E84,F86&lt;=F84),"within","outside")</f>
        <v>outside</v>
      </c>
      <c r="G88" s="900" t="s">
        <v>1011</v>
      </c>
      <c r="H88" s="791"/>
      <c r="I88" s="791"/>
      <c r="J88" s="791"/>
      <c r="K88" s="791"/>
    </row>
    <row r="89" spans="3:15">
      <c r="C89" s="857">
        <v>7</v>
      </c>
      <c r="D89" s="791"/>
      <c r="E89" s="791"/>
      <c r="F89" s="791"/>
      <c r="G89" s="791"/>
      <c r="H89" s="791"/>
      <c r="I89" s="791"/>
      <c r="J89" s="791"/>
      <c r="K89" s="791"/>
    </row>
    <row r="90" spans="3:15"/>
    <row r="91" spans="3:15" ht="13">
      <c r="C91" s="772" t="s">
        <v>1339</v>
      </c>
    </row>
    <row r="92" spans="3:15"/>
    <row r="93" spans="3:15">
      <c r="C93" s="1585" t="s">
        <v>934</v>
      </c>
      <c r="D93" s="1585"/>
      <c r="E93" s="1585"/>
      <c r="F93" s="1585"/>
      <c r="G93" s="1585"/>
      <c r="H93" s="1585"/>
      <c r="I93" s="1585"/>
      <c r="J93" s="1585"/>
      <c r="K93" s="1585"/>
      <c r="L93" s="1585"/>
      <c r="M93" s="1585"/>
      <c r="N93" s="1585"/>
      <c r="O93" s="1585"/>
    </row>
    <row r="94" spans="3:15">
      <c r="C94" s="1585"/>
      <c r="D94" s="1585"/>
      <c r="E94" s="1585"/>
      <c r="F94" s="1585"/>
      <c r="G94" s="1585"/>
      <c r="H94" s="1585"/>
      <c r="I94" s="1585"/>
      <c r="J94" s="1585"/>
      <c r="K94" s="1585"/>
      <c r="L94" s="1585"/>
      <c r="M94" s="1585"/>
      <c r="N94" s="1585"/>
      <c r="O94" s="1585"/>
    </row>
    <row r="95" spans="3:15"/>
    <row r="96" spans="3:15">
      <c r="C96" s="1585" t="s">
        <v>940</v>
      </c>
      <c r="D96" s="1585"/>
      <c r="E96" s="1585"/>
      <c r="F96" s="1585"/>
      <c r="G96" s="1585"/>
      <c r="H96" s="1585"/>
      <c r="I96" s="1585"/>
      <c r="J96" s="1585"/>
      <c r="K96" s="1585"/>
      <c r="L96" s="1585"/>
      <c r="M96" s="1585"/>
      <c r="N96" s="1585"/>
      <c r="O96" s="1585"/>
    </row>
    <row r="97" spans="3:15">
      <c r="C97" s="1585"/>
      <c r="D97" s="1585"/>
      <c r="E97" s="1585"/>
      <c r="F97" s="1585"/>
      <c r="G97" s="1585"/>
      <c r="H97" s="1585"/>
      <c r="I97" s="1585"/>
      <c r="J97" s="1585"/>
      <c r="K97" s="1585"/>
      <c r="L97" s="1585"/>
      <c r="M97" s="1585"/>
      <c r="N97" s="1585"/>
      <c r="O97" s="1585"/>
    </row>
    <row r="98" spans="3:15"/>
    <row r="99" spans="3:15">
      <c r="C99" s="857"/>
      <c r="D99" s="857" t="s">
        <v>1363</v>
      </c>
      <c r="E99" s="857" t="s">
        <v>1364</v>
      </c>
      <c r="F99" s="857" t="s">
        <v>1473</v>
      </c>
      <c r="G99" s="857" t="s">
        <v>1474</v>
      </c>
      <c r="H99" s="857" t="s">
        <v>1475</v>
      </c>
      <c r="I99" s="857" t="s">
        <v>1476</v>
      </c>
      <c r="J99" s="857" t="s">
        <v>497</v>
      </c>
      <c r="K99" s="857" t="s">
        <v>1511</v>
      </c>
      <c r="L99" s="857" t="s">
        <v>1512</v>
      </c>
    </row>
    <row r="100" spans="3:15">
      <c r="C100" s="857">
        <v>1</v>
      </c>
      <c r="D100" s="857" t="s">
        <v>641</v>
      </c>
      <c r="E100" s="857" t="s">
        <v>571</v>
      </c>
      <c r="F100" s="791" t="s">
        <v>227</v>
      </c>
      <c r="G100" s="791"/>
      <c r="H100" s="791" t="s">
        <v>937</v>
      </c>
      <c r="I100" s="791"/>
      <c r="J100" s="791"/>
      <c r="K100" s="791"/>
      <c r="L100" s="791"/>
    </row>
    <row r="101" spans="3:15">
      <c r="C101" s="857">
        <v>2</v>
      </c>
      <c r="D101" s="791">
        <f t="shared" ref="D101:D111" si="0">D102-1</f>
        <v>1997</v>
      </c>
      <c r="E101" s="1403">
        <v>0.05</v>
      </c>
      <c r="F101" s="791" t="s">
        <v>935</v>
      </c>
      <c r="G101" s="791"/>
      <c r="H101" s="791" t="str">
        <f>IF(OR(E101&lt;0,F101="no"),"x","")</f>
        <v/>
      </c>
      <c r="I101" s="791"/>
      <c r="J101" s="791"/>
      <c r="K101" s="791"/>
      <c r="L101" s="791"/>
    </row>
    <row r="102" spans="3:15">
      <c r="C102" s="857">
        <v>3</v>
      </c>
      <c r="D102" s="791">
        <f t="shared" si="0"/>
        <v>1998</v>
      </c>
      <c r="E102" s="1403">
        <v>0.03</v>
      </c>
      <c r="F102" s="791" t="s">
        <v>935</v>
      </c>
      <c r="G102" s="791"/>
      <c r="H102" s="791" t="str">
        <f t="shared" ref="H102:H113" si="1">IF(OR(E102&lt;0,F102="no"),"x","")</f>
        <v/>
      </c>
      <c r="I102" s="791"/>
      <c r="J102" s="791"/>
      <c r="K102" s="791"/>
      <c r="L102" s="791"/>
    </row>
    <row r="103" spans="3:15" ht="13" thickBot="1">
      <c r="C103" s="857">
        <v>4</v>
      </c>
      <c r="D103" s="791">
        <f t="shared" si="0"/>
        <v>1999</v>
      </c>
      <c r="E103" s="1404">
        <v>0.1</v>
      </c>
      <c r="F103" s="958" t="s">
        <v>935</v>
      </c>
      <c r="G103" s="791"/>
      <c r="H103" s="791" t="str">
        <f t="shared" si="1"/>
        <v/>
      </c>
      <c r="I103" s="791"/>
      <c r="J103" s="791"/>
      <c r="K103" s="791"/>
      <c r="L103" s="791"/>
    </row>
    <row r="104" spans="3:15" ht="13" thickBot="1">
      <c r="C104" s="857">
        <v>5</v>
      </c>
      <c r="D104" s="1018">
        <f t="shared" si="0"/>
        <v>2000</v>
      </c>
      <c r="E104" s="1405">
        <v>-0.12</v>
      </c>
      <c r="F104" s="1016" t="s">
        <v>935</v>
      </c>
      <c r="G104" s="809"/>
      <c r="H104" s="791" t="str">
        <f t="shared" si="1"/>
        <v>x</v>
      </c>
      <c r="I104" s="900" t="s">
        <v>938</v>
      </c>
      <c r="J104" s="791"/>
      <c r="K104" s="791"/>
      <c r="L104" s="791"/>
    </row>
    <row r="105" spans="3:15">
      <c r="C105" s="857">
        <v>6</v>
      </c>
      <c r="D105" s="791">
        <f t="shared" si="0"/>
        <v>2001</v>
      </c>
      <c r="E105" s="1406">
        <v>0.05</v>
      </c>
      <c r="F105" s="963" t="s">
        <v>935</v>
      </c>
      <c r="G105" s="791"/>
      <c r="H105" s="791" t="str">
        <f t="shared" si="1"/>
        <v/>
      </c>
      <c r="I105" s="791"/>
      <c r="J105" s="791"/>
      <c r="K105" s="791"/>
      <c r="L105" s="791"/>
    </row>
    <row r="106" spans="3:15" ht="13" thickBot="1">
      <c r="C106" s="857">
        <v>7</v>
      </c>
      <c r="D106" s="791">
        <f t="shared" si="0"/>
        <v>2002</v>
      </c>
      <c r="E106" s="1404">
        <v>0.03</v>
      </c>
      <c r="F106" s="958" t="s">
        <v>935</v>
      </c>
      <c r="G106" s="791"/>
      <c r="H106" s="791" t="str">
        <f t="shared" si="1"/>
        <v/>
      </c>
      <c r="I106" s="791"/>
      <c r="J106" s="791"/>
      <c r="K106" s="791"/>
      <c r="L106" s="791"/>
    </row>
    <row r="107" spans="3:15" ht="13" thickBot="1">
      <c r="C107" s="857">
        <v>8</v>
      </c>
      <c r="D107" s="1018">
        <f t="shared" si="0"/>
        <v>2003</v>
      </c>
      <c r="E107" s="1407">
        <v>0.05</v>
      </c>
      <c r="F107" s="1439" t="s">
        <v>936</v>
      </c>
      <c r="G107" s="1401"/>
      <c r="H107" s="796" t="str">
        <f t="shared" si="1"/>
        <v>x</v>
      </c>
      <c r="I107" s="1402" t="s">
        <v>939</v>
      </c>
      <c r="J107" s="857"/>
      <c r="K107" s="857"/>
      <c r="L107" s="791"/>
    </row>
    <row r="108" spans="3:15">
      <c r="C108" s="857">
        <v>1</v>
      </c>
      <c r="D108" s="791">
        <f t="shared" si="0"/>
        <v>2004</v>
      </c>
      <c r="E108" s="1406">
        <v>7.0000000000000007E-2</v>
      </c>
      <c r="F108" s="963" t="s">
        <v>935</v>
      </c>
      <c r="G108" s="791"/>
      <c r="H108" s="791" t="str">
        <f t="shared" si="1"/>
        <v/>
      </c>
      <c r="I108" s="791"/>
      <c r="J108" s="791"/>
      <c r="K108" s="791"/>
      <c r="L108" s="791"/>
    </row>
    <row r="109" spans="3:15">
      <c r="C109" s="857">
        <v>2</v>
      </c>
      <c r="D109" s="791">
        <f t="shared" si="0"/>
        <v>2005</v>
      </c>
      <c r="E109" s="1403">
        <v>-0.03</v>
      </c>
      <c r="F109" s="791" t="s">
        <v>936</v>
      </c>
      <c r="G109" s="791"/>
      <c r="H109" s="791" t="str">
        <f t="shared" si="1"/>
        <v>x</v>
      </c>
      <c r="I109" s="791"/>
      <c r="J109" s="791"/>
      <c r="K109" s="791"/>
      <c r="L109" s="791"/>
    </row>
    <row r="110" spans="3:15">
      <c r="C110" s="857">
        <v>3</v>
      </c>
      <c r="D110" s="791">
        <f t="shared" si="0"/>
        <v>2006</v>
      </c>
      <c r="E110" s="1403">
        <v>0.02</v>
      </c>
      <c r="F110" s="791" t="s">
        <v>935</v>
      </c>
      <c r="G110" s="791"/>
      <c r="H110" s="791" t="str">
        <f t="shared" si="1"/>
        <v/>
      </c>
      <c r="I110" s="791"/>
      <c r="J110" s="791"/>
      <c r="K110" s="791"/>
      <c r="L110" s="791"/>
    </row>
    <row r="111" spans="3:15">
      <c r="C111" s="857">
        <v>4</v>
      </c>
      <c r="D111" s="791">
        <f t="shared" si="0"/>
        <v>2007</v>
      </c>
      <c r="E111" s="1403">
        <v>0.06</v>
      </c>
      <c r="F111" s="791" t="s">
        <v>935</v>
      </c>
      <c r="G111" s="791"/>
      <c r="H111" s="791" t="str">
        <f t="shared" si="1"/>
        <v/>
      </c>
      <c r="I111" s="791"/>
      <c r="J111" s="791"/>
      <c r="K111" s="791"/>
      <c r="L111" s="791"/>
    </row>
    <row r="112" spans="3:15">
      <c r="C112" s="857">
        <v>5</v>
      </c>
      <c r="D112" s="791">
        <f>D113-1</f>
        <v>2008</v>
      </c>
      <c r="E112" s="1403">
        <v>0.01</v>
      </c>
      <c r="F112" s="791" t="s">
        <v>935</v>
      </c>
      <c r="G112" s="791"/>
      <c r="H112" s="791" t="str">
        <f t="shared" si="1"/>
        <v/>
      </c>
      <c r="I112" s="791"/>
      <c r="J112" s="791"/>
      <c r="K112" s="791"/>
      <c r="L112" s="791"/>
    </row>
    <row r="113" spans="3:15">
      <c r="C113" s="857">
        <v>6</v>
      </c>
      <c r="D113" s="791">
        <v>2009</v>
      </c>
      <c r="E113" s="1403">
        <v>-0.02</v>
      </c>
      <c r="F113" s="791" t="s">
        <v>935</v>
      </c>
      <c r="G113" s="791"/>
      <c r="H113" s="791" t="str">
        <f t="shared" si="1"/>
        <v>x</v>
      </c>
      <c r="I113" s="791"/>
      <c r="J113" s="791"/>
      <c r="K113" s="791"/>
      <c r="L113" s="791"/>
    </row>
    <row r="114" spans="3:15">
      <c r="C114" s="857">
        <v>7</v>
      </c>
      <c r="D114" s="791"/>
      <c r="E114" s="791"/>
      <c r="F114" s="791"/>
      <c r="G114" s="791"/>
      <c r="H114" s="791"/>
      <c r="I114" s="791"/>
      <c r="J114" s="791"/>
      <c r="K114" s="791"/>
      <c r="L114" s="791"/>
    </row>
    <row r="115" spans="3:15"/>
    <row r="116" spans="3:15">
      <c r="C116" s="1585" t="s">
        <v>941</v>
      </c>
      <c r="D116" s="1585"/>
      <c r="E116" s="1585"/>
      <c r="F116" s="1585"/>
      <c r="G116" s="1585"/>
      <c r="H116" s="1585"/>
      <c r="I116" s="1585"/>
      <c r="J116" s="1585"/>
      <c r="K116" s="1585"/>
      <c r="L116" s="1585"/>
      <c r="M116" s="1585"/>
      <c r="N116" s="1585"/>
      <c r="O116" s="1585"/>
    </row>
    <row r="117" spans="3:15">
      <c r="C117" s="1585"/>
      <c r="D117" s="1585"/>
      <c r="E117" s="1585"/>
      <c r="F117" s="1585"/>
      <c r="G117" s="1585"/>
      <c r="H117" s="1585"/>
      <c r="I117" s="1585"/>
      <c r="J117" s="1585"/>
      <c r="K117" s="1585"/>
      <c r="L117" s="1585"/>
      <c r="M117" s="1585"/>
      <c r="N117" s="1585"/>
      <c r="O117" s="1585"/>
    </row>
    <row r="118" spans="3:15">
      <c r="C118" s="1585"/>
      <c r="D118" s="1585"/>
      <c r="E118" s="1585"/>
      <c r="F118" s="1585"/>
      <c r="G118" s="1585"/>
      <c r="H118" s="1585"/>
      <c r="I118" s="1585"/>
      <c r="J118" s="1585"/>
      <c r="K118" s="1585"/>
      <c r="L118" s="1585"/>
      <c r="M118" s="1585"/>
      <c r="N118" s="1585"/>
      <c r="O118" s="1585"/>
    </row>
    <row r="119" spans="3:15"/>
    <row r="120" spans="3:15">
      <c r="C120" s="1697" t="str">
        <f>back_to_index</f>
        <v>Back to contents</v>
      </c>
      <c r="D120" s="1697"/>
      <c r="G120" s="1530" t="str">
        <f>page_prefix &amp; page_fn_AND&amp; page_suffix</f>
        <v>- Page 22 -</v>
      </c>
      <c r="H120" s="1530"/>
      <c r="I120" s="1530"/>
      <c r="J120" s="1481"/>
      <c r="K120" s="1481"/>
      <c r="N120" s="1640" t="str">
        <f>back_to_top</f>
        <v>Back to top</v>
      </c>
      <c r="O120" s="1640"/>
    </row>
    <row r="121" spans="3:15">
      <c r="G121" s="1530" t="str">
        <f>copyright</f>
        <v>Copyright (c) 2009 Tykoh Group Pty Limited</v>
      </c>
      <c r="H121" s="1530"/>
      <c r="I121" s="1530"/>
      <c r="J121" s="1481"/>
      <c r="K121" s="1481"/>
    </row>
    <row r="122" spans="3:15">
      <c r="G122" s="1452" t="str">
        <f>home_address</f>
        <v>www.tykoh.com</v>
      </c>
      <c r="H122" s="1452"/>
      <c r="I122" s="1452"/>
      <c r="J122" s="1452"/>
      <c r="K122" s="1452"/>
    </row>
    <row r="123" spans="3:15"/>
  </sheetData>
  <sheetProtection algorithmName="SHA-512" hashValue="YA2dDAcGDU8qQcTMbyRFlYBpnA5B5smurwZNfG/IPrRcoboNk9y3eC59XwnXupE2kji0uy6mmxM/74IdfyDn9w==" saltValue="UsvjjQJQf1VbHXm/kW/37g==" spinCount="100000" sheet="1" objects="1" scenarios="1"/>
  <mergeCells count="22">
    <mergeCell ref="C5:L6"/>
    <mergeCell ref="M4:O8"/>
    <mergeCell ref="C28:O29"/>
    <mergeCell ref="C37:O39"/>
    <mergeCell ref="C41:O42"/>
    <mergeCell ref="M19:O23"/>
    <mergeCell ref="C17:O18"/>
    <mergeCell ref="M44:O48"/>
    <mergeCell ref="G122:K122"/>
    <mergeCell ref="N120:O120"/>
    <mergeCell ref="G120:K120"/>
    <mergeCell ref="G121:K121"/>
    <mergeCell ref="C116:O118"/>
    <mergeCell ref="C120:D120"/>
    <mergeCell ref="M70:O74"/>
    <mergeCell ref="M82:O86"/>
    <mergeCell ref="C52:O53"/>
    <mergeCell ref="C55:O56"/>
    <mergeCell ref="C67:O68"/>
    <mergeCell ref="C79:O80"/>
    <mergeCell ref="C93:O94"/>
    <mergeCell ref="C96:O97"/>
  </mergeCells>
  <phoneticPr fontId="2" type="noConversion"/>
  <dataValidations count="5">
    <dataValidation type="list" allowBlank="1" showInputMessage="1" showErrorMessage="1" sqref="E74" xr:uid="{00000000-0002-0000-2200-000000000000}">
      <formula1>"14,15,16"</formula1>
    </dataValidation>
    <dataValidation type="list" allowBlank="1" showInputMessage="1" showErrorMessage="1" sqref="F74 F86" xr:uid="{00000000-0002-0000-2200-000001000000}">
      <formula1>"17,18,19"</formula1>
    </dataValidation>
    <dataValidation type="list" allowBlank="1" showInputMessage="1" showErrorMessage="1" sqref="D20 F20 H20" xr:uid="{00000000-0002-0000-2200-000002000000}">
      <formula1>"TRUE,FALSE"</formula1>
    </dataValidation>
    <dataValidation type="list" allowBlank="1" showInputMessage="1" showErrorMessage="1" sqref="E107" xr:uid="{00000000-0002-0000-2200-000003000000}">
      <formula1>".05,-.03"</formula1>
    </dataValidation>
    <dataValidation type="list" allowBlank="1" showInputMessage="1" showErrorMessage="1" sqref="F107" xr:uid="{00000000-0002-0000-2200-000004000000}">
      <formula1>"yes,no"</formula1>
    </dataValidation>
  </dataValidations>
  <hyperlinks>
    <hyperlink ref="N120:O120" location="hh_fn_AND" display="hh_fn_AND" xr:uid="{00000000-0004-0000-2200-000000000000}"/>
    <hyperlink ref="C120:D120" location="hh_index" display="hh_index" xr:uid="{00000000-0004-0000-2200-000001000000}"/>
    <hyperlink ref="G122:K122" r:id="rId1" display="https://www.tykoh.com/" xr:uid="{00000000-0004-0000-2200-000002000000}"/>
  </hyperlinks>
  <pageMargins left="0.75" right="0.75" top="1" bottom="1" header="0.5" footer="0.5"/>
  <pageSetup paperSize="9" scale="66" fitToHeight="2" orientation="portrait" r:id="rId2"/>
  <headerFooter alignWithMargins="0"/>
  <rowBreaks count="1" manualBreakCount="1">
    <brk id="77" max="15" man="1"/>
  </rowBreaks>
  <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0">
    <pageSetUpPr fitToPage="1"/>
  </sheetPr>
  <dimension ref="C1:O36"/>
  <sheetViews>
    <sheetView showGridLines="0" showRowColHeaders="0" topLeftCell="A25" workbookViewId="0">
      <selection activeCell="G35" sqref="G35:K35"/>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721</v>
      </c>
    </row>
    <row r="4" spans="3:15" ht="13" thickTop="1">
      <c r="M4" s="1521" t="str">
        <f ca="1">OFFSET(ad_first,OFFSET(ads_top,ROW(ads_fn_AVERAGE)-1,1),0)</f>
        <v>Our Visual Basic course shows how to automate routine work and save the time and trouble of doing the same thing over and over</v>
      </c>
      <c r="N4" s="1522"/>
      <c r="O4" s="1523"/>
    </row>
    <row r="5" spans="3:15">
      <c r="C5" s="1585" t="s">
        <v>482</v>
      </c>
      <c r="D5" s="1585"/>
      <c r="E5" s="1585"/>
      <c r="F5" s="1585"/>
      <c r="G5" s="1585"/>
      <c r="H5" s="1585"/>
      <c r="I5" s="1585"/>
      <c r="J5" s="1585"/>
      <c r="K5" s="1585"/>
      <c r="L5" s="1585"/>
      <c r="M5" s="1524"/>
      <c r="N5" s="1525"/>
      <c r="O5" s="1526"/>
    </row>
    <row r="6" spans="3:15">
      <c r="C6" s="1585"/>
      <c r="D6" s="1585"/>
      <c r="E6" s="1585"/>
      <c r="F6" s="1585"/>
      <c r="G6" s="1585"/>
      <c r="H6" s="1585"/>
      <c r="I6" s="1585"/>
      <c r="J6" s="1585"/>
      <c r="K6" s="1585"/>
      <c r="L6" s="1585"/>
      <c r="M6" s="1524"/>
      <c r="N6" s="1525"/>
      <c r="O6" s="1526"/>
    </row>
    <row r="7" spans="3:15">
      <c r="M7" s="1524"/>
      <c r="N7" s="1525"/>
      <c r="O7" s="1526"/>
    </row>
    <row r="8" spans="3:15" ht="13" thickBot="1">
      <c r="C8" s="1585" t="s">
        <v>483</v>
      </c>
      <c r="D8" s="1585"/>
      <c r="E8" s="1585"/>
      <c r="F8" s="1585"/>
      <c r="G8" s="1585"/>
      <c r="H8" s="1585"/>
      <c r="I8" s="1585"/>
      <c r="J8" s="1585"/>
      <c r="K8" s="1585"/>
      <c r="L8" s="1585"/>
      <c r="M8" s="1527"/>
      <c r="N8" s="1528"/>
      <c r="O8" s="1529"/>
    </row>
    <row r="9" spans="3:15" ht="13" thickTop="1">
      <c r="C9" s="1585"/>
      <c r="D9" s="1585"/>
      <c r="E9" s="1585"/>
      <c r="F9" s="1585"/>
      <c r="G9" s="1585"/>
      <c r="H9" s="1585"/>
      <c r="I9" s="1585"/>
      <c r="J9" s="1585"/>
      <c r="K9" s="1585"/>
      <c r="L9" s="1585"/>
      <c r="M9" s="1310"/>
      <c r="N9" s="1311"/>
      <c r="O9" s="1311"/>
    </row>
    <row r="10" spans="3:15">
      <c r="C10" s="263"/>
      <c r="D10" s="263"/>
      <c r="E10" s="263"/>
      <c r="F10" s="263"/>
      <c r="G10" s="263"/>
      <c r="H10" s="263"/>
      <c r="I10" s="263"/>
      <c r="J10" s="263"/>
      <c r="K10" s="263"/>
      <c r="L10" s="263"/>
    </row>
    <row r="11" spans="3:15">
      <c r="C11" s="1585" t="s">
        <v>1393</v>
      </c>
      <c r="D11" s="1585"/>
      <c r="E11" s="1585"/>
      <c r="F11" s="1585"/>
      <c r="G11" s="1585"/>
      <c r="H11" s="1585"/>
      <c r="I11" s="1585"/>
      <c r="J11" s="1585"/>
      <c r="K11" s="1585"/>
      <c r="L11" s="1585"/>
      <c r="M11" s="1585"/>
      <c r="N11" s="1585"/>
      <c r="O11" s="1585"/>
    </row>
    <row r="12" spans="3:15">
      <c r="C12" s="1585"/>
      <c r="D12" s="1585"/>
      <c r="E12" s="1585"/>
      <c r="F12" s="1585"/>
      <c r="G12" s="1585"/>
      <c r="H12" s="1585"/>
      <c r="I12" s="1585"/>
      <c r="J12" s="1585"/>
      <c r="K12" s="1585"/>
      <c r="L12" s="1585"/>
      <c r="M12" s="1585"/>
      <c r="N12" s="1585"/>
      <c r="O12" s="1585"/>
    </row>
    <row r="13" spans="3:15">
      <c r="C13" s="1585"/>
      <c r="D13" s="1585"/>
      <c r="E13" s="1585"/>
      <c r="F13" s="1585"/>
      <c r="G13" s="1585"/>
      <c r="H13" s="1585"/>
      <c r="I13" s="1585"/>
      <c r="J13" s="1585"/>
      <c r="K13" s="1585"/>
      <c r="L13" s="1585"/>
      <c r="M13" s="1585"/>
      <c r="N13" s="1585"/>
      <c r="O13" s="1585"/>
    </row>
    <row r="14" spans="3:15"/>
    <row r="15" spans="3:15">
      <c r="C15" s="1585" t="s">
        <v>1132</v>
      </c>
      <c r="D15" s="1585"/>
      <c r="E15" s="1585"/>
      <c r="F15" s="1585"/>
      <c r="G15" s="1585"/>
      <c r="H15" s="1585"/>
      <c r="I15" s="1585"/>
      <c r="J15" s="1585"/>
      <c r="K15" s="1585"/>
      <c r="L15" s="1585"/>
      <c r="M15" s="1585"/>
      <c r="N15" s="1585"/>
      <c r="O15" s="1585"/>
    </row>
    <row r="16" spans="3:15">
      <c r="C16" s="1585"/>
      <c r="D16" s="1585"/>
      <c r="E16" s="1585"/>
      <c r="F16" s="1585"/>
      <c r="G16" s="1585"/>
      <c r="H16" s="1585"/>
      <c r="I16" s="1585"/>
      <c r="J16" s="1585"/>
      <c r="K16" s="1585"/>
      <c r="L16" s="1585"/>
      <c r="M16" s="1585"/>
      <c r="N16" s="1585"/>
      <c r="O16" s="1585"/>
    </row>
    <row r="17" spans="3:15"/>
    <row r="18" spans="3:15" ht="13" thickBot="1">
      <c r="C18" s="857"/>
      <c r="D18" s="948" t="s">
        <v>1363</v>
      </c>
      <c r="E18" s="857" t="s">
        <v>1364</v>
      </c>
      <c r="F18" s="948" t="s">
        <v>1473</v>
      </c>
      <c r="G18" s="857" t="s">
        <v>1474</v>
      </c>
      <c r="H18" s="857" t="s">
        <v>1475</v>
      </c>
      <c r="I18" s="857" t="s">
        <v>1476</v>
      </c>
      <c r="J18" s="857" t="s">
        <v>497</v>
      </c>
      <c r="K18" s="857" t="s">
        <v>1511</v>
      </c>
    </row>
    <row r="19" spans="3:15" ht="13.5" thickTop="1" thickBot="1">
      <c r="C19" s="949">
        <v>1</v>
      </c>
      <c r="D19" s="1019">
        <v>1</v>
      </c>
      <c r="E19" s="1052"/>
      <c r="F19" s="1016">
        <v>3</v>
      </c>
      <c r="G19" s="809">
        <f>AVERAGE(D19,F19)</f>
        <v>2</v>
      </c>
      <c r="H19" s="900" t="s">
        <v>1014</v>
      </c>
      <c r="I19" s="791"/>
      <c r="J19" s="791"/>
      <c r="K19" s="791"/>
      <c r="M19" s="1545" t="str">
        <f ca="1">OFFSET(ad_first,OFFSET(ads_top,ROW(ads_fn_AVERAGE)-1,2),0)</f>
        <v>Our modelling and spreadsheet skills courses cover both core and extended spreadsheet and finance topics.</v>
      </c>
      <c r="N19" s="1689"/>
      <c r="O19" s="1690"/>
    </row>
    <row r="20" spans="3:15" ht="13" thickBot="1">
      <c r="C20" s="857">
        <v>2</v>
      </c>
      <c r="D20" s="957"/>
      <c r="E20" s="958"/>
      <c r="F20" s="957"/>
      <c r="G20" s="791"/>
      <c r="H20" s="791"/>
      <c r="I20" s="791"/>
      <c r="J20" s="791"/>
      <c r="K20" s="791"/>
      <c r="M20" s="1691"/>
      <c r="N20" s="1692"/>
      <c r="O20" s="1693"/>
    </row>
    <row r="21" spans="3:15" ht="13" thickBot="1">
      <c r="C21" s="949">
        <v>3</v>
      </c>
      <c r="D21" s="1048">
        <v>1</v>
      </c>
      <c r="E21" s="1054"/>
      <c r="F21" s="1068">
        <v>3</v>
      </c>
      <c r="G21" s="809">
        <f>AVERAGE(D21:F21)</f>
        <v>2</v>
      </c>
      <c r="H21" s="900" t="s">
        <v>1015</v>
      </c>
      <c r="I21" s="791"/>
      <c r="J21" s="791"/>
      <c r="K21" s="791"/>
      <c r="M21" s="1691"/>
      <c r="N21" s="1692"/>
      <c r="O21" s="1693"/>
    </row>
    <row r="22" spans="3:15" ht="13" thickBot="1">
      <c r="C22" s="857">
        <v>4</v>
      </c>
      <c r="D22" s="957"/>
      <c r="E22" s="957"/>
      <c r="F22" s="957"/>
      <c r="G22" s="791"/>
      <c r="H22" s="791"/>
      <c r="I22" s="791"/>
      <c r="J22" s="791"/>
      <c r="K22" s="791"/>
      <c r="M22" s="1691"/>
      <c r="N22" s="1692"/>
      <c r="O22" s="1693"/>
    </row>
    <row r="23" spans="3:15" ht="13" thickBot="1">
      <c r="C23" s="949">
        <v>5</v>
      </c>
      <c r="D23" s="1066">
        <v>1</v>
      </c>
      <c r="E23" s="1071">
        <v>0</v>
      </c>
      <c r="F23" s="1069">
        <v>3</v>
      </c>
      <c r="G23" s="809">
        <f>AVERAGE(D23:F23)</f>
        <v>1.3333333333333333</v>
      </c>
      <c r="H23" s="900" t="s">
        <v>1016</v>
      </c>
      <c r="I23" s="791"/>
      <c r="J23" s="791"/>
      <c r="K23" s="791"/>
      <c r="M23" s="1694"/>
      <c r="N23" s="1695"/>
      <c r="O23" s="1696"/>
    </row>
    <row r="24" spans="3:15" ht="13" thickBot="1">
      <c r="C24" s="857">
        <v>6</v>
      </c>
      <c r="D24" s="957"/>
      <c r="E24" s="957"/>
      <c r="F24" s="957"/>
      <c r="G24" s="791"/>
      <c r="H24" s="791"/>
      <c r="I24" s="791"/>
      <c r="J24" s="791"/>
      <c r="K24" s="791"/>
    </row>
    <row r="25" spans="3:15" ht="13" thickBot="1">
      <c r="C25" s="949">
        <v>7</v>
      </c>
      <c r="D25" s="1050"/>
      <c r="E25" s="1051"/>
      <c r="F25" s="1070"/>
      <c r="G25" s="809" t="e">
        <f>AVERAGE(D25:F25)</f>
        <v>#DIV/0!</v>
      </c>
      <c r="H25" s="900" t="s">
        <v>1017</v>
      </c>
      <c r="I25" s="791"/>
      <c r="J25" s="791"/>
      <c r="K25" s="791"/>
    </row>
    <row r="26" spans="3:15"/>
    <row r="27" spans="3:15">
      <c r="C27" s="1585" t="s">
        <v>1133</v>
      </c>
      <c r="D27" s="1585"/>
      <c r="E27" s="1585"/>
      <c r="F27" s="1585"/>
      <c r="G27" s="1585"/>
      <c r="H27" s="1585"/>
      <c r="I27" s="1585"/>
      <c r="J27" s="1585"/>
      <c r="K27" s="1585"/>
      <c r="L27" s="1585"/>
      <c r="M27" s="1585"/>
      <c r="N27" s="1585"/>
      <c r="O27" s="1585"/>
    </row>
    <row r="28" spans="3:15">
      <c r="C28" s="1585"/>
      <c r="D28" s="1585"/>
      <c r="E28" s="1585"/>
      <c r="F28" s="1585"/>
      <c r="G28" s="1585"/>
      <c r="H28" s="1585"/>
      <c r="I28" s="1585"/>
      <c r="J28" s="1585"/>
      <c r="K28" s="1585"/>
      <c r="L28" s="1585"/>
      <c r="M28" s="1585"/>
      <c r="N28" s="1585"/>
      <c r="O28" s="1585"/>
    </row>
    <row r="29" spans="3:15"/>
    <row r="30" spans="3:15">
      <c r="C30" s="1700" t="s">
        <v>276</v>
      </c>
      <c r="D30" s="1468"/>
      <c r="E30" s="1468"/>
      <c r="F30" s="1468"/>
      <c r="G30" s="1468"/>
      <c r="H30" s="1468"/>
      <c r="I30" s="1468"/>
      <c r="J30" s="1468"/>
    </row>
    <row r="31" spans="3:15">
      <c r="C31" s="1700" t="s">
        <v>277</v>
      </c>
      <c r="D31" s="1468"/>
      <c r="E31" s="1468"/>
      <c r="F31" s="1468"/>
      <c r="G31" s="1468"/>
      <c r="H31" s="1468"/>
      <c r="I31" s="1468"/>
    </row>
    <row r="32" spans="3:15"/>
    <row r="33" spans="3:15">
      <c r="C33" s="1697" t="str">
        <f>back_to_index</f>
        <v>Back to contents</v>
      </c>
      <c r="D33" s="1697"/>
      <c r="G33" s="1530" t="str">
        <f>page_prefix &amp; page_fn_AVERAGE&amp; page_suffix</f>
        <v>- Page 23 -</v>
      </c>
      <c r="H33" s="1530"/>
      <c r="I33" s="1530"/>
      <c r="J33" s="1481"/>
      <c r="K33" s="1481"/>
      <c r="N33" s="1640" t="str">
        <f>back_to_top</f>
        <v>Back to top</v>
      </c>
      <c r="O33" s="1640"/>
    </row>
    <row r="34" spans="3:15">
      <c r="G34" s="1530" t="str">
        <f>copyright</f>
        <v>Copyright (c) 2009 Tykoh Group Pty Limited</v>
      </c>
      <c r="H34" s="1530"/>
      <c r="I34" s="1530"/>
      <c r="J34" s="1481"/>
      <c r="K34" s="1481"/>
    </row>
    <row r="35" spans="3:15">
      <c r="G35" s="1452" t="str">
        <f>home_address</f>
        <v>www.tykoh.com</v>
      </c>
      <c r="H35" s="1452"/>
      <c r="I35" s="1452"/>
      <c r="J35" s="1452"/>
      <c r="K35" s="1452"/>
    </row>
    <row r="36" spans="3:15"/>
  </sheetData>
  <sheetProtection algorithmName="SHA-512" hashValue="G7o2aXNEyEnl/OEZaLPilzB6TFDwLMkwb0PXdr/AKTG/hw4L9JZ/K1DKWbk3MES7i50BBd3wVH5DOcU/WUyhdQ==" saltValue="r3eLiEkgooK9mihJY4zj8Q==" spinCount="100000" sheet="1" objects="1" scenarios="1"/>
  <mergeCells count="14">
    <mergeCell ref="C31:I31"/>
    <mergeCell ref="C5:L6"/>
    <mergeCell ref="C8:L9"/>
    <mergeCell ref="M4:O8"/>
    <mergeCell ref="C11:O13"/>
    <mergeCell ref="C15:O16"/>
    <mergeCell ref="C27:O28"/>
    <mergeCell ref="M19:O23"/>
    <mergeCell ref="C30:J30"/>
    <mergeCell ref="G35:K35"/>
    <mergeCell ref="C33:D33"/>
    <mergeCell ref="G33:K33"/>
    <mergeCell ref="N33:O33"/>
    <mergeCell ref="G34:K34"/>
  </mergeCells>
  <phoneticPr fontId="2" type="noConversion"/>
  <hyperlinks>
    <hyperlink ref="N33:O33" location="hh_fn_AVERAGE" display="hh_fn_AVERAGE" xr:uid="{00000000-0004-0000-2300-000000000000}"/>
    <hyperlink ref="C33:D33" location="hh_index" display="hh_index" xr:uid="{00000000-0004-0000-2300-000001000000}"/>
    <hyperlink ref="C30:J30" location="hh_offset_average" display="[For an example of the AVERAGE function used with the OFFSET function click here]" xr:uid="{00000000-0004-0000-2300-000002000000}"/>
    <hyperlink ref="C31:I31" location="hh_Averaging" display="[For an example of an application that uses AVERAGE click here]" xr:uid="{00000000-0004-0000-2300-000003000000}"/>
    <hyperlink ref="G35:K35" r:id="rId1" display="https://www.tykoh.com/" xr:uid="{00000000-0004-0000-2300-000004000000}"/>
  </hyperlinks>
  <pageMargins left="0.75" right="0.75" top="1" bottom="1" header="0.5" footer="0.5"/>
  <pageSetup paperSize="9" scale="71" orientation="portrait" r:id="rId2"/>
  <headerFooter alignWithMargins="0"/>
  <drawing r:id="rId3"/>
  <legacy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C1:O101"/>
  <sheetViews>
    <sheetView showGridLines="0" showRowColHeaders="0" topLeftCell="A82" workbookViewId="0">
      <selection activeCell="G100" sqref="G100:K100"/>
    </sheetView>
  </sheetViews>
  <sheetFormatPr defaultColWidth="0" defaultRowHeight="12.5" zeroHeight="1"/>
  <cols>
    <col min="1" max="2" width="1" customWidth="1"/>
    <col min="3" max="15" width="8.7265625" customWidth="1"/>
    <col min="16" max="16" width="1.81640625" customWidth="1"/>
  </cols>
  <sheetData>
    <row r="1" spans="3:15"/>
    <row r="2" spans="3:15">
      <c r="C2" s="105"/>
      <c r="D2" s="105"/>
      <c r="E2" s="105"/>
      <c r="F2" s="105"/>
      <c r="G2" s="105"/>
      <c r="H2" s="105"/>
      <c r="I2" s="105"/>
      <c r="J2" s="105"/>
      <c r="K2" s="105"/>
      <c r="L2" s="105"/>
      <c r="M2" s="105"/>
      <c r="N2" s="105"/>
      <c r="O2" s="105"/>
    </row>
    <row r="3" spans="3:15" ht="16" thickBot="1">
      <c r="C3" s="96" t="s">
        <v>146</v>
      </c>
    </row>
    <row r="4" spans="3:15" ht="13" thickTop="1">
      <c r="M4" s="1521" t="str">
        <f ca="1">OFFSET(ad_first,OFFSET(ads_top,ROW(ads_fn_CHOOSE)-1,1),0)</f>
        <v>We specialise in presenting one and two day finance / technical workshops</v>
      </c>
      <c r="N4" s="1522"/>
      <c r="O4" s="1523"/>
    </row>
    <row r="5" spans="3:15">
      <c r="C5" s="1543" t="s">
        <v>461</v>
      </c>
      <c r="D5" s="1518"/>
      <c r="E5" s="1518"/>
      <c r="F5" s="1518"/>
      <c r="G5" s="1518"/>
      <c r="H5" s="1518"/>
      <c r="I5" s="1518"/>
      <c r="J5" s="1518"/>
      <c r="K5" s="1518"/>
      <c r="L5" s="1518"/>
      <c r="M5" s="1524"/>
      <c r="N5" s="1525"/>
      <c r="O5" s="1526"/>
    </row>
    <row r="6" spans="3:15">
      <c r="C6" s="1518"/>
      <c r="D6" s="1518"/>
      <c r="E6" s="1518"/>
      <c r="F6" s="1518"/>
      <c r="G6" s="1518"/>
      <c r="H6" s="1518"/>
      <c r="I6" s="1518"/>
      <c r="J6" s="1518"/>
      <c r="K6" s="1518"/>
      <c r="L6" s="1518"/>
      <c r="M6" s="1524"/>
      <c r="N6" s="1525"/>
      <c r="O6" s="1526"/>
    </row>
    <row r="7" spans="3:15">
      <c r="C7" s="1518"/>
      <c r="D7" s="1518"/>
      <c r="E7" s="1518"/>
      <c r="F7" s="1518"/>
      <c r="G7" s="1518"/>
      <c r="H7" s="1518"/>
      <c r="I7" s="1518"/>
      <c r="J7" s="1518"/>
      <c r="K7" s="1518"/>
      <c r="L7" s="1518"/>
      <c r="M7" s="1524"/>
      <c r="N7" s="1525"/>
      <c r="O7" s="1526"/>
    </row>
    <row r="8" spans="3:15" ht="13" thickBot="1">
      <c r="C8" s="1518"/>
      <c r="D8" s="1518"/>
      <c r="E8" s="1518"/>
      <c r="F8" s="1518"/>
      <c r="G8" s="1518"/>
      <c r="H8" s="1518"/>
      <c r="I8" s="1518"/>
      <c r="J8" s="1518"/>
      <c r="K8" s="1518"/>
      <c r="L8" s="1518"/>
      <c r="M8" s="1527"/>
      <c r="N8" s="1528"/>
      <c r="O8" s="1529"/>
    </row>
    <row r="9" spans="3:15" ht="13" thickTop="1">
      <c r="C9" s="1518"/>
      <c r="D9" s="1518"/>
      <c r="E9" s="1518"/>
      <c r="F9" s="1518"/>
      <c r="G9" s="1518"/>
      <c r="H9" s="1518"/>
      <c r="I9" s="1518"/>
      <c r="J9" s="1518"/>
      <c r="K9" s="1518"/>
      <c r="L9" s="1518"/>
      <c r="M9" s="1310"/>
      <c r="N9" s="1311"/>
      <c r="O9" s="1311"/>
    </row>
    <row r="10" spans="3:15">
      <c r="C10" s="777"/>
      <c r="D10" s="777"/>
      <c r="E10" s="777"/>
      <c r="F10" s="777"/>
      <c r="G10" s="777"/>
      <c r="H10" s="777"/>
      <c r="I10" s="777"/>
      <c r="J10" s="777"/>
      <c r="K10" s="777"/>
      <c r="L10" s="777"/>
      <c r="M10" s="777"/>
      <c r="N10" s="777"/>
      <c r="O10" s="777"/>
    </row>
    <row r="11" spans="3:15">
      <c r="C11" s="1518" t="s">
        <v>462</v>
      </c>
      <c r="D11" s="1518"/>
      <c r="E11" s="1518"/>
      <c r="F11" s="1518"/>
      <c r="G11" s="1518"/>
      <c r="H11" s="1518"/>
      <c r="I11" s="1518"/>
      <c r="J11" s="1518"/>
      <c r="K11" s="1518"/>
      <c r="L11" s="1518"/>
      <c r="M11" s="1518"/>
      <c r="N11" s="1518"/>
      <c r="O11" s="1518"/>
    </row>
    <row r="12" spans="3:15">
      <c r="C12" s="1518"/>
      <c r="D12" s="1518"/>
      <c r="E12" s="1518"/>
      <c r="F12" s="1518"/>
      <c r="G12" s="1518"/>
      <c r="H12" s="1518"/>
      <c r="I12" s="1518"/>
      <c r="J12" s="1518"/>
      <c r="K12" s="1518"/>
      <c r="L12" s="1518"/>
      <c r="M12" s="1518"/>
      <c r="N12" s="1518"/>
      <c r="O12" s="1518"/>
    </row>
    <row r="13" spans="3:15">
      <c r="C13" s="619"/>
      <c r="D13" s="619"/>
      <c r="E13" s="619"/>
      <c r="F13" s="619"/>
      <c r="G13" s="619"/>
      <c r="H13" s="619"/>
      <c r="I13" s="619"/>
      <c r="J13" s="619"/>
      <c r="K13" s="619"/>
      <c r="L13" s="619"/>
      <c r="M13" s="619"/>
      <c r="N13" s="619"/>
      <c r="O13" s="619"/>
    </row>
    <row r="14" spans="3:15">
      <c r="C14" s="1518" t="s">
        <v>147</v>
      </c>
      <c r="D14" s="1518"/>
      <c r="E14" s="1518"/>
      <c r="F14" s="1518"/>
      <c r="G14" s="1518"/>
      <c r="H14" s="1518"/>
      <c r="I14" s="1518"/>
      <c r="J14" s="1518"/>
      <c r="K14" s="1518"/>
      <c r="L14" s="1518"/>
      <c r="M14" s="1518"/>
      <c r="N14" s="1518"/>
      <c r="O14" s="1518"/>
    </row>
    <row r="15" spans="3:15"/>
    <row r="16" spans="3:15" ht="13" thickBot="1">
      <c r="C16" s="781"/>
      <c r="D16" s="782" t="s">
        <v>1363</v>
      </c>
      <c r="E16" s="781" t="s">
        <v>1364</v>
      </c>
      <c r="F16" s="782" t="s">
        <v>1473</v>
      </c>
      <c r="G16" s="781" t="s">
        <v>1474</v>
      </c>
      <c r="H16" s="782" t="s">
        <v>1475</v>
      </c>
      <c r="I16" s="781" t="s">
        <v>1476</v>
      </c>
      <c r="J16" s="781" t="s">
        <v>497</v>
      </c>
      <c r="K16" s="781" t="s">
        <v>1511</v>
      </c>
    </row>
    <row r="17" spans="3:15" ht="13" thickBot="1">
      <c r="C17" s="783">
        <v>1</v>
      </c>
      <c r="D17" s="784">
        <v>45</v>
      </c>
      <c r="E17" s="785"/>
      <c r="F17" s="786">
        <v>82</v>
      </c>
      <c r="G17" s="785"/>
      <c r="H17" s="787">
        <v>17</v>
      </c>
      <c r="I17" s="788"/>
      <c r="J17" s="789"/>
      <c r="K17" s="789"/>
    </row>
    <row r="18" spans="3:15">
      <c r="C18" s="781">
        <v>2</v>
      </c>
      <c r="D18" s="790"/>
      <c r="E18" s="789"/>
      <c r="F18" s="790"/>
      <c r="G18" s="789"/>
      <c r="H18" s="790"/>
      <c r="I18" s="789"/>
      <c r="J18" s="789"/>
      <c r="K18" s="789"/>
    </row>
    <row r="19" spans="3:15">
      <c r="C19" s="781">
        <v>3</v>
      </c>
      <c r="D19" s="791">
        <f>CHOOSE(1,D17,F17,H17)</f>
        <v>45</v>
      </c>
      <c r="E19" s="900" t="s">
        <v>1224</v>
      </c>
      <c r="F19" s="789"/>
      <c r="G19" s="789"/>
      <c r="H19" s="789"/>
      <c r="I19" s="789"/>
      <c r="J19" s="789"/>
      <c r="K19" s="789"/>
    </row>
    <row r="20" spans="3:15">
      <c r="C20" s="781">
        <v>4</v>
      </c>
      <c r="D20" s="789"/>
      <c r="E20" s="789"/>
      <c r="F20" s="789"/>
      <c r="G20" s="789"/>
      <c r="H20" s="789"/>
      <c r="I20" s="789"/>
      <c r="J20" s="789"/>
      <c r="K20" s="789"/>
    </row>
    <row r="21" spans="3:15"/>
    <row r="22" spans="3:15">
      <c r="C22" s="1518" t="s">
        <v>180</v>
      </c>
      <c r="D22" s="1518"/>
      <c r="E22" s="1518"/>
      <c r="F22" s="1518"/>
      <c r="G22" s="1518"/>
      <c r="H22" s="1518"/>
      <c r="I22" s="1518"/>
      <c r="J22" s="1518"/>
      <c r="K22" s="1518"/>
      <c r="L22" s="1518"/>
      <c r="M22" s="1518"/>
      <c r="N22" s="1518"/>
      <c r="O22" s="1518"/>
    </row>
    <row r="23" spans="3:15">
      <c r="C23" s="1518"/>
      <c r="D23" s="1518"/>
      <c r="E23" s="1518"/>
      <c r="F23" s="1518"/>
      <c r="G23" s="1518"/>
      <c r="H23" s="1518"/>
      <c r="I23" s="1518"/>
      <c r="J23" s="1518"/>
      <c r="K23" s="1518"/>
      <c r="L23" s="1518"/>
      <c r="M23" s="1518"/>
      <c r="N23" s="1518"/>
      <c r="O23" s="1518"/>
    </row>
    <row r="24" spans="3:15"/>
    <row r="25" spans="3:15" ht="13" thickBot="1">
      <c r="C25" s="781"/>
      <c r="D25" s="782" t="s">
        <v>1363</v>
      </c>
      <c r="E25" s="781" t="s">
        <v>1364</v>
      </c>
      <c r="F25" s="782" t="s">
        <v>1473</v>
      </c>
      <c r="G25" s="781" t="s">
        <v>1474</v>
      </c>
      <c r="H25" s="782" t="s">
        <v>1475</v>
      </c>
      <c r="I25" s="781" t="s">
        <v>1476</v>
      </c>
      <c r="J25" s="781" t="s">
        <v>497</v>
      </c>
      <c r="K25" s="781" t="s">
        <v>1511</v>
      </c>
    </row>
    <row r="26" spans="3:15" ht="13" thickBot="1">
      <c r="C26" s="783">
        <v>1</v>
      </c>
      <c r="D26" s="784">
        <v>45</v>
      </c>
      <c r="E26" s="785"/>
      <c r="F26" s="786">
        <v>82</v>
      </c>
      <c r="G26" s="785"/>
      <c r="H26" s="787">
        <v>17</v>
      </c>
      <c r="I26" s="788"/>
      <c r="J26" s="789"/>
      <c r="K26" s="789"/>
    </row>
    <row r="27" spans="3:15">
      <c r="C27" s="781">
        <v>2</v>
      </c>
      <c r="D27" s="790"/>
      <c r="E27" s="789"/>
      <c r="F27" s="790"/>
      <c r="G27" s="789"/>
      <c r="H27" s="790"/>
      <c r="I27" s="789"/>
      <c r="J27" s="789"/>
      <c r="K27" s="789"/>
    </row>
    <row r="28" spans="3:15">
      <c r="C28" s="781">
        <v>3</v>
      </c>
      <c r="D28" s="791">
        <f>CHOOSE(2,D26,F26,H26)</f>
        <v>82</v>
      </c>
      <c r="E28" s="900" t="s">
        <v>1225</v>
      </c>
      <c r="F28" s="789"/>
      <c r="G28" s="789"/>
      <c r="H28" s="789"/>
      <c r="I28" s="789"/>
      <c r="J28" s="789"/>
      <c r="K28" s="789"/>
    </row>
    <row r="29" spans="3:15">
      <c r="C29" s="781">
        <v>4</v>
      </c>
      <c r="D29" s="789"/>
      <c r="E29" s="789"/>
      <c r="F29" s="789"/>
      <c r="G29" s="789"/>
      <c r="H29" s="789"/>
      <c r="I29" s="789"/>
      <c r="J29" s="789"/>
      <c r="K29" s="789"/>
    </row>
    <row r="30" spans="3:15"/>
    <row r="31" spans="3:15" ht="13">
      <c r="C31" s="111" t="s">
        <v>625</v>
      </c>
    </row>
    <row r="32" spans="3:15"/>
    <row r="33" spans="3:15">
      <c r="C33" s="1518" t="s">
        <v>412</v>
      </c>
      <c r="D33" s="1518"/>
      <c r="E33" s="1518"/>
      <c r="F33" s="1518"/>
      <c r="G33" s="1518"/>
      <c r="H33" s="1518"/>
      <c r="I33" s="1518"/>
      <c r="J33" s="1518"/>
      <c r="K33" s="1518"/>
      <c r="L33" s="1518"/>
      <c r="M33" s="1518"/>
      <c r="N33" s="1518"/>
      <c r="O33" s="1518"/>
    </row>
    <row r="34" spans="3:15">
      <c r="C34" s="1518"/>
      <c r="D34" s="1518"/>
      <c r="E34" s="1518"/>
      <c r="F34" s="1518"/>
      <c r="G34" s="1518"/>
      <c r="H34" s="1518"/>
      <c r="I34" s="1518"/>
      <c r="J34" s="1518"/>
      <c r="K34" s="1518"/>
      <c r="L34" s="1518"/>
      <c r="M34" s="1518"/>
      <c r="N34" s="1518"/>
      <c r="O34" s="1518"/>
    </row>
    <row r="35" spans="3:15" ht="13" thickBot="1"/>
    <row r="36" spans="3:15" ht="13" thickTop="1">
      <c r="C36" s="781"/>
      <c r="D36" s="781" t="s">
        <v>1363</v>
      </c>
      <c r="E36" s="781" t="s">
        <v>1364</v>
      </c>
      <c r="F36" s="781" t="s">
        <v>1473</v>
      </c>
      <c r="G36" s="781" t="s">
        <v>1474</v>
      </c>
      <c r="H36" s="781" t="s">
        <v>1475</v>
      </c>
      <c r="I36" s="781" t="s">
        <v>1476</v>
      </c>
      <c r="J36" s="781" t="s">
        <v>497</v>
      </c>
      <c r="K36" s="781" t="s">
        <v>1511</v>
      </c>
      <c r="M36" s="1521" t="str">
        <f ca="1">OFFSET(ad_first,OFFSET(ads_top,ROW(ads_fn_CHOOSE)-1,2),0)</f>
        <v>Our Visual Basic course shows how to increase work efficiency by making shortcuts for common tasks</v>
      </c>
      <c r="N36" s="1522"/>
      <c r="O36" s="1523"/>
    </row>
    <row r="37" spans="3:15" ht="13" thickBot="1">
      <c r="C37" s="781">
        <v>1</v>
      </c>
      <c r="D37" s="781" t="s">
        <v>413</v>
      </c>
      <c r="E37" s="782" t="s">
        <v>414</v>
      </c>
      <c r="F37" s="781"/>
      <c r="G37" s="782" t="s">
        <v>415</v>
      </c>
      <c r="H37" s="781"/>
      <c r="I37" s="782" t="s">
        <v>416</v>
      </c>
      <c r="J37" s="781"/>
      <c r="K37" s="781"/>
      <c r="M37" s="1524"/>
      <c r="N37" s="1525"/>
      <c r="O37" s="1526"/>
    </row>
    <row r="38" spans="3:15" ht="13" thickBot="1">
      <c r="C38" s="781">
        <v>2</v>
      </c>
      <c r="D38" s="793"/>
      <c r="E38" s="786">
        <v>45</v>
      </c>
      <c r="F38" s="785"/>
      <c r="G38" s="787">
        <v>82</v>
      </c>
      <c r="H38" s="785"/>
      <c r="I38" s="1063">
        <v>17</v>
      </c>
      <c r="J38" s="788"/>
      <c r="K38" s="789"/>
      <c r="M38" s="1524"/>
      <c r="N38" s="1525"/>
      <c r="O38" s="1526"/>
    </row>
    <row r="39" spans="3:15" ht="13" thickBot="1">
      <c r="C39" s="781">
        <v>3</v>
      </c>
      <c r="D39" s="789"/>
      <c r="E39" s="795"/>
      <c r="F39" s="789"/>
      <c r="G39" s="790"/>
      <c r="H39" s="789"/>
      <c r="I39" s="790"/>
      <c r="J39" s="789"/>
      <c r="K39" s="789"/>
      <c r="M39" s="1524"/>
      <c r="N39" s="1525"/>
      <c r="O39" s="1526"/>
    </row>
    <row r="40" spans="3:15" ht="13" thickBot="1">
      <c r="C40" s="781">
        <v>4</v>
      </c>
      <c r="D40" s="1701" t="s">
        <v>417</v>
      </c>
      <c r="E40" s="979">
        <v>1</v>
      </c>
      <c r="F40" s="788"/>
      <c r="G40" s="789" t="s">
        <v>418</v>
      </c>
      <c r="H40" s="796">
        <f>CHOOSE(E40,E38,G38,I38)</f>
        <v>45</v>
      </c>
      <c r="I40" s="900" t="s">
        <v>1009</v>
      </c>
      <c r="J40" s="789"/>
      <c r="K40" s="789"/>
      <c r="M40" s="1527"/>
      <c r="N40" s="1528"/>
      <c r="O40" s="1529"/>
    </row>
    <row r="41" spans="3:15">
      <c r="C41" s="781">
        <v>5</v>
      </c>
      <c r="D41" s="1702"/>
      <c r="E41" s="790"/>
      <c r="F41" s="789"/>
      <c r="G41" s="789"/>
      <c r="H41" s="789"/>
      <c r="I41" s="789"/>
      <c r="J41" s="789"/>
      <c r="K41" s="789"/>
      <c r="M41" s="1310"/>
      <c r="N41" s="1311"/>
      <c r="O41" s="1311"/>
    </row>
    <row r="42" spans="3:15"/>
    <row r="43" spans="3:15">
      <c r="C43" s="1518" t="s">
        <v>419</v>
      </c>
      <c r="D43" s="1518"/>
      <c r="E43" s="1518"/>
      <c r="F43" s="1518"/>
      <c r="G43" s="1518"/>
      <c r="H43" s="1518"/>
      <c r="I43" s="1518"/>
      <c r="J43" s="1518"/>
      <c r="K43" s="1518"/>
      <c r="L43" s="1518"/>
      <c r="M43" s="1518"/>
      <c r="N43" s="1518"/>
      <c r="O43" s="1518"/>
    </row>
    <row r="44" spans="3:15">
      <c r="C44" s="1518"/>
      <c r="D44" s="1518"/>
      <c r="E44" s="1518"/>
      <c r="F44" s="1518"/>
      <c r="G44" s="1518"/>
      <c r="H44" s="1518"/>
      <c r="I44" s="1518"/>
      <c r="J44" s="1518"/>
      <c r="K44" s="1518"/>
      <c r="L44" s="1518"/>
      <c r="M44" s="1518"/>
      <c r="N44" s="1518"/>
      <c r="O44" s="1518"/>
    </row>
    <row r="45" spans="3:15"/>
    <row r="46" spans="3:15" ht="13" thickBot="1">
      <c r="C46" s="781"/>
      <c r="D46" s="782" t="s">
        <v>1363</v>
      </c>
      <c r="E46" s="781" t="s">
        <v>1364</v>
      </c>
      <c r="F46" s="782" t="s">
        <v>1473</v>
      </c>
      <c r="G46" s="781" t="s">
        <v>1474</v>
      </c>
      <c r="H46" s="782" t="s">
        <v>1475</v>
      </c>
      <c r="I46" s="781" t="s">
        <v>1476</v>
      </c>
      <c r="J46" s="781" t="s">
        <v>497</v>
      </c>
      <c r="K46" s="781" t="s">
        <v>1511</v>
      </c>
    </row>
    <row r="47" spans="3:15" ht="13" thickBot="1">
      <c r="C47" s="783">
        <v>1</v>
      </c>
      <c r="D47" s="784">
        <v>45</v>
      </c>
      <c r="E47" s="785"/>
      <c r="F47" s="786">
        <v>82</v>
      </c>
      <c r="G47" s="785"/>
      <c r="H47" s="787">
        <v>17</v>
      </c>
      <c r="I47" s="788"/>
      <c r="J47" s="789"/>
      <c r="K47" s="789"/>
    </row>
    <row r="48" spans="3:15">
      <c r="C48" s="781">
        <v>2</v>
      </c>
      <c r="D48" s="790"/>
      <c r="E48" s="789"/>
      <c r="F48" s="790"/>
      <c r="G48" s="789"/>
      <c r="H48" s="790"/>
      <c r="I48" s="789"/>
      <c r="J48" s="789"/>
      <c r="K48" s="789"/>
    </row>
    <row r="49" spans="3:15">
      <c r="C49" s="781">
        <v>3</v>
      </c>
      <c r="D49" s="791" t="e">
        <f>CHOOSE(4,D47,F47,H47)</f>
        <v>#VALUE!</v>
      </c>
      <c r="E49" s="900" t="s">
        <v>1226</v>
      </c>
      <c r="F49" s="789"/>
      <c r="G49" s="789"/>
      <c r="H49" s="789"/>
      <c r="I49" s="789"/>
      <c r="J49" s="789"/>
      <c r="K49" s="789"/>
    </row>
    <row r="50" spans="3:15">
      <c r="C50" s="781">
        <v>4</v>
      </c>
      <c r="D50" s="789"/>
      <c r="E50" s="789"/>
      <c r="F50" s="789"/>
      <c r="G50" s="789"/>
      <c r="H50" s="789"/>
      <c r="I50" s="789"/>
      <c r="J50" s="789"/>
      <c r="K50" s="789"/>
    </row>
    <row r="51" spans="3:15"/>
    <row r="52" spans="3:15">
      <c r="C52" s="1518" t="s">
        <v>422</v>
      </c>
      <c r="D52" s="1518"/>
      <c r="E52" s="1518"/>
      <c r="F52" s="1518"/>
      <c r="G52" s="1518"/>
      <c r="H52" s="1518"/>
      <c r="I52" s="1518"/>
      <c r="J52" s="1518"/>
      <c r="K52" s="1518"/>
      <c r="L52" s="1518"/>
      <c r="M52" s="1518"/>
      <c r="N52" s="1518"/>
      <c r="O52" s="1518"/>
    </row>
    <row r="53" spans="3:15">
      <c r="C53" s="1518"/>
      <c r="D53" s="1518"/>
      <c r="E53" s="1518"/>
      <c r="F53" s="1518"/>
      <c r="G53" s="1518"/>
      <c r="H53" s="1518"/>
      <c r="I53" s="1518"/>
      <c r="J53" s="1518"/>
      <c r="K53" s="1518"/>
      <c r="L53" s="1518"/>
      <c r="M53" s="1518"/>
      <c r="N53" s="1518"/>
      <c r="O53" s="1518"/>
    </row>
    <row r="54" spans="3:15"/>
    <row r="55" spans="3:15">
      <c r="C55" s="1518" t="s">
        <v>423</v>
      </c>
      <c r="D55" s="1518"/>
      <c r="E55" s="1518"/>
      <c r="F55" s="1518"/>
      <c r="G55" s="1518"/>
      <c r="H55" s="1518"/>
      <c r="I55" s="1518"/>
      <c r="J55" s="1518"/>
      <c r="K55" s="1518"/>
      <c r="L55" s="1518"/>
      <c r="M55" s="1518"/>
      <c r="N55" s="1518"/>
      <c r="O55" s="1518"/>
    </row>
    <row r="56" spans="3:15" ht="13" thickBot="1">
      <c r="C56" s="1518"/>
      <c r="D56" s="1518"/>
      <c r="E56" s="1518"/>
      <c r="F56" s="1518"/>
      <c r="G56" s="1518"/>
      <c r="H56" s="1518"/>
      <c r="I56" s="1518"/>
      <c r="J56" s="1518"/>
      <c r="K56" s="1518"/>
      <c r="L56" s="1518"/>
      <c r="M56" s="1518"/>
      <c r="N56" s="1518"/>
      <c r="O56" s="1518"/>
    </row>
    <row r="57" spans="3:15" ht="13.5" customHeight="1" thickTop="1">
      <c r="M57" s="1521" t="str">
        <f ca="1">OFFSET(ad_first,OFFSET(ads_top,ROW(ads_fn_CHOOSE)-1,3),0)</f>
        <v>Our Visual Basic course shows how to extend or change Microsoft Office products' functionality</v>
      </c>
      <c r="N57" s="1522"/>
      <c r="O57" s="1523"/>
    </row>
    <row r="58" spans="3:15" ht="13" thickBot="1">
      <c r="C58" s="781"/>
      <c r="D58" s="782" t="s">
        <v>1363</v>
      </c>
      <c r="E58" s="782" t="s">
        <v>1364</v>
      </c>
      <c r="F58" s="782" t="s">
        <v>1473</v>
      </c>
      <c r="G58" s="781" t="s">
        <v>1474</v>
      </c>
      <c r="H58" s="781" t="s">
        <v>1475</v>
      </c>
      <c r="I58" s="781" t="s">
        <v>1476</v>
      </c>
      <c r="J58" s="781" t="s">
        <v>497</v>
      </c>
      <c r="K58" s="781" t="s">
        <v>1511</v>
      </c>
      <c r="M58" s="1524"/>
      <c r="N58" s="1525"/>
      <c r="O58" s="1526"/>
    </row>
    <row r="59" spans="3:15" ht="13" thickBot="1">
      <c r="C59" s="783">
        <v>1</v>
      </c>
      <c r="D59" s="797">
        <v>45</v>
      </c>
      <c r="E59" s="798">
        <v>82</v>
      </c>
      <c r="F59" s="799">
        <v>17</v>
      </c>
      <c r="G59" s="788"/>
      <c r="H59" s="789"/>
      <c r="I59" s="789"/>
      <c r="J59" s="789"/>
      <c r="K59" s="789"/>
      <c r="M59" s="1524"/>
      <c r="N59" s="1525"/>
      <c r="O59" s="1526"/>
    </row>
    <row r="60" spans="3:15">
      <c r="C60" s="781">
        <v>2</v>
      </c>
      <c r="D60" s="790"/>
      <c r="E60" s="790"/>
      <c r="F60" s="790"/>
      <c r="G60" s="789"/>
      <c r="H60" s="789"/>
      <c r="I60" s="789"/>
      <c r="J60" s="789"/>
      <c r="K60" s="789"/>
      <c r="M60" s="1524"/>
      <c r="N60" s="1525"/>
      <c r="O60" s="1526"/>
    </row>
    <row r="61" spans="3:15" ht="13" thickBot="1">
      <c r="C61" s="781">
        <v>3</v>
      </c>
      <c r="D61" s="791" t="e">
        <f>CHOOSE(2,D59:F59)</f>
        <v>#VALUE!</v>
      </c>
      <c r="E61" s="900" t="s">
        <v>1227</v>
      </c>
      <c r="F61" s="789"/>
      <c r="G61" s="789"/>
      <c r="H61" s="789"/>
      <c r="I61" s="789"/>
      <c r="J61" s="789"/>
      <c r="K61" s="789"/>
      <c r="M61" s="1527"/>
      <c r="N61" s="1528"/>
      <c r="O61" s="1529"/>
    </row>
    <row r="62" spans="3:15" ht="13" thickTop="1">
      <c r="C62" s="781">
        <v>4</v>
      </c>
      <c r="D62" s="789"/>
      <c r="E62" s="789"/>
      <c r="F62" s="789"/>
      <c r="G62" s="789"/>
      <c r="H62" s="789"/>
      <c r="I62" s="789"/>
      <c r="J62" s="789"/>
      <c r="K62" s="789"/>
      <c r="M62" s="1310"/>
      <c r="N62" s="1311"/>
      <c r="O62" s="1311"/>
    </row>
    <row r="63" spans="3:15">
      <c r="L63" s="20"/>
      <c r="M63" s="1163"/>
      <c r="N63" s="1164"/>
      <c r="O63" s="1164"/>
    </row>
    <row r="64" spans="3:15">
      <c r="C64" s="1518" t="s">
        <v>1065</v>
      </c>
      <c r="D64" s="1518"/>
      <c r="E64" s="1518"/>
      <c r="F64" s="1518"/>
      <c r="G64" s="1518"/>
      <c r="H64" s="1518"/>
      <c r="I64" s="1518"/>
      <c r="J64" s="1518"/>
      <c r="K64" s="1518"/>
      <c r="L64" s="1518"/>
      <c r="M64" s="1518"/>
      <c r="N64" s="1518"/>
      <c r="O64" s="1518"/>
    </row>
    <row r="65" spans="3:15">
      <c r="C65" s="1518"/>
      <c r="D65" s="1518"/>
      <c r="E65" s="1518"/>
      <c r="F65" s="1518"/>
      <c r="G65" s="1518"/>
      <c r="H65" s="1518"/>
      <c r="I65" s="1518"/>
      <c r="J65" s="1518"/>
      <c r="K65" s="1518"/>
      <c r="L65" s="1518"/>
      <c r="M65" s="1518"/>
      <c r="N65" s="1518"/>
      <c r="O65" s="1518"/>
    </row>
    <row r="66" spans="3:15"/>
    <row r="67" spans="3:15">
      <c r="C67" s="1518" t="s">
        <v>137</v>
      </c>
      <c r="D67" s="1518"/>
      <c r="E67" s="1518"/>
      <c r="F67" s="1518"/>
      <c r="G67" s="1518"/>
      <c r="H67" s="1518"/>
      <c r="I67" s="1518"/>
      <c r="J67" s="1518"/>
      <c r="K67" s="1518"/>
      <c r="L67" s="1518"/>
      <c r="M67" s="1518"/>
      <c r="N67" s="1518"/>
      <c r="O67" s="1518"/>
    </row>
    <row r="68" spans="3:15">
      <c r="C68" s="1518"/>
      <c r="D68" s="1518"/>
      <c r="E68" s="1518"/>
      <c r="F68" s="1518"/>
      <c r="G68" s="1518"/>
      <c r="H68" s="1518"/>
      <c r="I68" s="1518"/>
      <c r="J68" s="1518"/>
      <c r="K68" s="1518"/>
      <c r="L68" s="1518"/>
      <c r="M68" s="1518"/>
      <c r="N68" s="1518"/>
      <c r="O68" s="1518"/>
    </row>
    <row r="69" spans="3:15">
      <c r="C69" s="1518"/>
      <c r="D69" s="1518"/>
      <c r="E69" s="1518"/>
      <c r="F69" s="1518"/>
      <c r="G69" s="1518"/>
      <c r="H69" s="1518"/>
      <c r="I69" s="1518"/>
      <c r="J69" s="1518"/>
      <c r="K69" s="1518"/>
      <c r="L69" s="1518"/>
      <c r="M69" s="1518"/>
      <c r="N69" s="1518"/>
      <c r="O69" s="1518"/>
    </row>
    <row r="70" spans="3:15"/>
    <row r="71" spans="3:15" ht="13" thickBot="1">
      <c r="C71" s="781"/>
      <c r="D71" s="782" t="s">
        <v>1363</v>
      </c>
      <c r="E71" s="782" t="s">
        <v>1364</v>
      </c>
      <c r="F71" s="782" t="s">
        <v>1473</v>
      </c>
      <c r="G71" s="781" t="s">
        <v>1474</v>
      </c>
      <c r="H71" s="781" t="s">
        <v>1475</v>
      </c>
      <c r="I71" s="781" t="s">
        <v>1476</v>
      </c>
      <c r="J71" s="781" t="s">
        <v>497</v>
      </c>
      <c r="K71" s="781" t="s">
        <v>1511</v>
      </c>
    </row>
    <row r="72" spans="3:15" ht="13" thickBot="1">
      <c r="C72" s="783">
        <v>1</v>
      </c>
      <c r="D72" s="797">
        <v>1</v>
      </c>
      <c r="E72" s="798">
        <v>2</v>
      </c>
      <c r="F72" s="799">
        <v>3</v>
      </c>
      <c r="G72" s="788"/>
      <c r="H72" s="789"/>
      <c r="I72" s="789"/>
      <c r="J72" s="789"/>
      <c r="K72" s="789"/>
    </row>
    <row r="73" spans="3:15" ht="13" thickBot="1">
      <c r="C73" s="781">
        <v>2</v>
      </c>
      <c r="D73" s="795"/>
      <c r="E73" s="795"/>
      <c r="F73" s="795"/>
      <c r="G73" s="789"/>
      <c r="H73" s="789"/>
      <c r="I73" s="789"/>
      <c r="J73" s="789"/>
      <c r="K73" s="789"/>
    </row>
    <row r="74" spans="3:15" ht="13" thickBot="1">
      <c r="C74" s="783">
        <v>3</v>
      </c>
      <c r="D74" s="800">
        <v>4</v>
      </c>
      <c r="E74" s="801">
        <v>5</v>
      </c>
      <c r="F74" s="802">
        <v>6</v>
      </c>
      <c r="G74" s="788"/>
      <c r="H74" s="789"/>
      <c r="I74" s="789"/>
      <c r="J74" s="789"/>
      <c r="K74" s="789"/>
    </row>
    <row r="75" spans="3:15" ht="13" thickBot="1">
      <c r="C75" s="781">
        <v>4</v>
      </c>
      <c r="D75" s="795"/>
      <c r="E75" s="795"/>
      <c r="F75" s="795"/>
      <c r="G75" s="789"/>
      <c r="H75" s="789"/>
      <c r="I75" s="789"/>
      <c r="J75" s="789"/>
      <c r="K75" s="789"/>
    </row>
    <row r="76" spans="3:15" ht="13" thickBot="1">
      <c r="C76" s="783">
        <v>5</v>
      </c>
      <c r="D76" s="803">
        <v>7</v>
      </c>
      <c r="E76" s="804">
        <v>8</v>
      </c>
      <c r="F76" s="805">
        <v>9</v>
      </c>
      <c r="G76" s="788"/>
      <c r="H76" s="789"/>
      <c r="I76" s="789"/>
      <c r="J76" s="789"/>
      <c r="K76" s="789"/>
    </row>
    <row r="77" spans="3:15">
      <c r="C77" s="781">
        <v>6</v>
      </c>
      <c r="D77" s="790"/>
      <c r="E77" s="790"/>
      <c r="F77" s="790"/>
      <c r="G77" s="789"/>
      <c r="H77" s="789"/>
      <c r="I77" s="789"/>
      <c r="J77" s="789"/>
      <c r="K77" s="789"/>
    </row>
    <row r="78" spans="3:15">
      <c r="C78" s="781">
        <v>7</v>
      </c>
      <c r="D78" s="791">
        <f>SUM(CHOOSE(2,D72:F72,D74:F74,D76:F76))</f>
        <v>15</v>
      </c>
      <c r="E78" s="900" t="s">
        <v>1228</v>
      </c>
      <c r="F78" s="789"/>
      <c r="G78" s="789"/>
      <c r="H78" s="789"/>
      <c r="I78" s="789"/>
      <c r="J78" s="789"/>
      <c r="K78" s="789"/>
      <c r="N78" s="20"/>
    </row>
    <row r="79" spans="3:15">
      <c r="C79" s="781">
        <v>8</v>
      </c>
      <c r="D79" s="789"/>
      <c r="E79" s="789"/>
      <c r="F79" s="789"/>
      <c r="G79" s="789"/>
      <c r="H79" s="789"/>
      <c r="I79" s="789"/>
      <c r="J79" s="789"/>
      <c r="K79" s="789"/>
      <c r="N79" s="20"/>
    </row>
    <row r="80" spans="3:15">
      <c r="N80" s="20"/>
    </row>
    <row r="81" spans="3:15">
      <c r="C81" s="1518" t="s">
        <v>138</v>
      </c>
      <c r="D81" s="1518"/>
      <c r="E81" s="1518"/>
      <c r="F81" s="1518"/>
      <c r="G81" s="1518"/>
      <c r="H81" s="1518"/>
      <c r="I81" s="1518"/>
      <c r="J81" s="1518"/>
      <c r="K81" s="1518"/>
      <c r="L81" s="1518"/>
      <c r="M81" s="1518"/>
      <c r="N81" s="1518"/>
      <c r="O81" s="1518"/>
    </row>
    <row r="82" spans="3:15">
      <c r="C82" s="1518"/>
      <c r="D82" s="1518"/>
      <c r="E82" s="1518"/>
      <c r="F82" s="1518"/>
      <c r="G82" s="1518"/>
      <c r="H82" s="1518"/>
      <c r="I82" s="1518"/>
      <c r="J82" s="1518"/>
      <c r="K82" s="1518"/>
      <c r="L82" s="1518"/>
      <c r="M82" s="1518"/>
      <c r="N82" s="1518"/>
      <c r="O82" s="1518"/>
    </row>
    <row r="83" spans="3:15">
      <c r="N83" s="20"/>
    </row>
    <row r="84" spans="3:15">
      <c r="C84" s="1518" t="s">
        <v>424</v>
      </c>
      <c r="D84" s="1518"/>
      <c r="E84" s="1518"/>
      <c r="F84" s="1518"/>
      <c r="G84" s="1518"/>
      <c r="H84" s="1518"/>
      <c r="I84" s="1518"/>
      <c r="J84" s="1518"/>
      <c r="K84" s="1518"/>
      <c r="L84" s="1518"/>
      <c r="M84" s="1518"/>
      <c r="N84" s="1518"/>
      <c r="O84" s="1518"/>
    </row>
    <row r="85" spans="3:15" ht="13" thickBot="1">
      <c r="N85" s="20"/>
    </row>
    <row r="86" spans="3:15" ht="13.5" thickTop="1" thickBot="1">
      <c r="C86" s="781"/>
      <c r="D86" s="781" t="s">
        <v>1363</v>
      </c>
      <c r="E86" s="782" t="s">
        <v>1364</v>
      </c>
      <c r="F86" s="781" t="s">
        <v>1473</v>
      </c>
      <c r="G86" s="782" t="s">
        <v>1474</v>
      </c>
      <c r="H86" s="782" t="s">
        <v>1475</v>
      </c>
      <c r="I86" s="781" t="s">
        <v>1476</v>
      </c>
      <c r="J86" s="781" t="s">
        <v>497</v>
      </c>
      <c r="K86" s="781" t="s">
        <v>1511</v>
      </c>
      <c r="M86" s="1521" t="str">
        <f ca="1">OFFSET(ad_first,OFFSET(ads_top,ROW(ads_fn_CHOOSE)-1,4),0)</f>
        <v>We can tailor courses to specific audiences - e.g. audiences with a derivatives focus.</v>
      </c>
      <c r="N86" s="1522"/>
      <c r="O86" s="1523"/>
    </row>
    <row r="87" spans="3:15" ht="13" thickBot="1">
      <c r="C87" s="781">
        <v>1</v>
      </c>
      <c r="D87" s="793" t="s">
        <v>425</v>
      </c>
      <c r="E87" s="979">
        <v>1</v>
      </c>
      <c r="F87" s="785"/>
      <c r="G87" s="800">
        <v>1</v>
      </c>
      <c r="H87" s="802">
        <v>2</v>
      </c>
      <c r="I87" s="788"/>
      <c r="J87" s="789"/>
      <c r="K87" s="789"/>
      <c r="M87" s="1524"/>
      <c r="N87" s="1525"/>
      <c r="O87" s="1526"/>
    </row>
    <row r="88" spans="3:15" ht="13" thickBot="1">
      <c r="C88" s="781">
        <v>2</v>
      </c>
      <c r="D88" s="789"/>
      <c r="E88" s="795"/>
      <c r="F88" s="806"/>
      <c r="G88" s="790"/>
      <c r="H88" s="795"/>
      <c r="I88" s="789"/>
      <c r="J88" s="789"/>
      <c r="K88" s="789"/>
      <c r="M88" s="1524"/>
      <c r="N88" s="1525"/>
      <c r="O88" s="1526"/>
    </row>
    <row r="89" spans="3:15" ht="13" thickBot="1">
      <c r="C89" s="781">
        <v>3</v>
      </c>
      <c r="D89" s="793"/>
      <c r="E89" s="803">
        <v>5</v>
      </c>
      <c r="F89" s="805">
        <v>6</v>
      </c>
      <c r="G89" s="785"/>
      <c r="H89" s="794">
        <v>-4</v>
      </c>
      <c r="I89" s="788"/>
      <c r="J89" s="789"/>
      <c r="K89" s="789"/>
      <c r="M89" s="1524"/>
      <c r="N89" s="1525"/>
      <c r="O89" s="1526"/>
    </row>
    <row r="90" spans="3:15" ht="13" thickBot="1">
      <c r="C90" s="781">
        <v>4</v>
      </c>
      <c r="D90" s="806"/>
      <c r="E90" s="795"/>
      <c r="F90" s="795"/>
      <c r="G90" s="789"/>
      <c r="H90" s="795"/>
      <c r="I90" s="789"/>
      <c r="J90" s="789"/>
      <c r="K90" s="789"/>
      <c r="M90" s="1527"/>
      <c r="N90" s="1528"/>
      <c r="O90" s="1529"/>
    </row>
    <row r="91" spans="3:15" ht="13.5" thickTop="1" thickBot="1">
      <c r="C91" s="783">
        <v>5</v>
      </c>
      <c r="D91" s="1064">
        <v>7</v>
      </c>
      <c r="E91" s="1076">
        <v>8</v>
      </c>
      <c r="F91" s="1065">
        <v>9</v>
      </c>
      <c r="G91" s="785"/>
      <c r="H91" s="1067">
        <v>-8</v>
      </c>
      <c r="I91" s="788"/>
      <c r="J91" s="789"/>
      <c r="K91" s="789"/>
      <c r="M91" s="1310"/>
      <c r="N91" s="1311"/>
      <c r="O91" s="1311"/>
    </row>
    <row r="92" spans="3:15">
      <c r="C92" s="781">
        <v>6</v>
      </c>
      <c r="D92" s="790"/>
      <c r="E92" s="790"/>
      <c r="F92" s="790"/>
      <c r="G92" s="789"/>
      <c r="H92" s="790"/>
      <c r="I92" s="789"/>
      <c r="J92" s="789"/>
      <c r="K92" s="789"/>
    </row>
    <row r="93" spans="3:15">
      <c r="C93" s="781">
        <v>7</v>
      </c>
      <c r="D93" s="789" t="s">
        <v>418</v>
      </c>
      <c r="E93" s="796">
        <f>SUM(CHOOSE(E87,G87:H87,E89:F89,D91:F91,H89,H91))</f>
        <v>3</v>
      </c>
      <c r="F93" s="900" t="s">
        <v>1013</v>
      </c>
      <c r="G93" s="789"/>
      <c r="H93" s="789"/>
      <c r="I93" s="789"/>
      <c r="J93" s="789"/>
      <c r="K93" s="789"/>
    </row>
    <row r="94" spans="3:15">
      <c r="C94" s="781">
        <v>8</v>
      </c>
      <c r="D94" s="789"/>
      <c r="E94" s="807"/>
      <c r="F94" s="789"/>
      <c r="G94" s="789"/>
      <c r="H94" s="789"/>
      <c r="I94" s="789"/>
      <c r="J94" s="789"/>
      <c r="K94" s="789"/>
    </row>
    <row r="95" spans="3:15">
      <c r="C95" s="781">
        <v>9</v>
      </c>
      <c r="D95" s="789"/>
      <c r="E95" s="789"/>
      <c r="F95" s="789"/>
      <c r="G95" s="789"/>
      <c r="H95" s="789"/>
      <c r="I95" s="789"/>
      <c r="J95" s="789"/>
      <c r="K95" s="789"/>
    </row>
    <row r="96" spans="3:15"/>
    <row r="97" spans="3:15"/>
    <row r="98" spans="3:15">
      <c r="C98" s="1697" t="str">
        <f>back_to_index</f>
        <v>Back to contents</v>
      </c>
      <c r="D98" s="1697"/>
      <c r="G98" s="1674" t="str">
        <f>page_prefix &amp; page_fn_CHOOSE&amp; page_suffix</f>
        <v>- Page 24 -</v>
      </c>
      <c r="H98" s="1674"/>
      <c r="I98" s="1674"/>
      <c r="J98" s="1703"/>
      <c r="K98" s="1703"/>
      <c r="N98" s="1673" t="str">
        <f>back_to_top</f>
        <v>Back to top</v>
      </c>
      <c r="O98" s="1673"/>
    </row>
    <row r="99" spans="3:15">
      <c r="G99" s="1674" t="str">
        <f>copyright</f>
        <v>Copyright (c) 2009 Tykoh Group Pty Limited</v>
      </c>
      <c r="H99" s="1674"/>
      <c r="I99" s="1674"/>
      <c r="J99" s="1703"/>
      <c r="K99" s="1703"/>
    </row>
    <row r="100" spans="3:15">
      <c r="G100" s="1452" t="str">
        <f>home_address</f>
        <v>www.tykoh.com</v>
      </c>
      <c r="H100" s="1452"/>
      <c r="I100" s="1452"/>
      <c r="J100" s="1452"/>
      <c r="K100" s="1452"/>
    </row>
    <row r="101" spans="3:15"/>
  </sheetData>
  <sheetProtection algorithmName="SHA-512" hashValue="5tVp/OzYGO0MNKye/yjiHkozAVDvq/+/nex+7Ia0KvF1G28XNIFSyLLokHQr+r2ZTpudSYgdv3k768ELuQhXaA==" saltValue="NHz8R+qSd9Ju27KKe6eWFQ==" spinCount="100000" sheet="1" objects="1" scenarios="1"/>
  <mergeCells count="22">
    <mergeCell ref="C5:L9"/>
    <mergeCell ref="C11:O12"/>
    <mergeCell ref="M4:O8"/>
    <mergeCell ref="M86:O90"/>
    <mergeCell ref="M57:O61"/>
    <mergeCell ref="G100:K100"/>
    <mergeCell ref="C98:D98"/>
    <mergeCell ref="C84:O84"/>
    <mergeCell ref="C43:O44"/>
    <mergeCell ref="C52:O53"/>
    <mergeCell ref="G99:K99"/>
    <mergeCell ref="C81:O82"/>
    <mergeCell ref="N98:O98"/>
    <mergeCell ref="G98:K98"/>
    <mergeCell ref="C64:O65"/>
    <mergeCell ref="C67:O69"/>
    <mergeCell ref="C33:O34"/>
    <mergeCell ref="C14:O14"/>
    <mergeCell ref="C55:O56"/>
    <mergeCell ref="M36:O40"/>
    <mergeCell ref="C22:O23"/>
    <mergeCell ref="D40:D41"/>
  </mergeCells>
  <phoneticPr fontId="2" type="noConversion"/>
  <conditionalFormatting sqref="E38">
    <cfRule type="expression" dxfId="46" priority="1" stopIfTrue="1">
      <formula>$E$40=1</formula>
    </cfRule>
  </conditionalFormatting>
  <conditionalFormatting sqref="G38">
    <cfRule type="expression" dxfId="45" priority="2" stopIfTrue="1">
      <formula>$E$40=2</formula>
    </cfRule>
  </conditionalFormatting>
  <conditionalFormatting sqref="I38">
    <cfRule type="expression" dxfId="44" priority="3" stopIfTrue="1">
      <formula>$E$40=3</formula>
    </cfRule>
  </conditionalFormatting>
  <conditionalFormatting sqref="G87:H87">
    <cfRule type="expression" dxfId="43" priority="4" stopIfTrue="1">
      <formula>$E$87=1</formula>
    </cfRule>
  </conditionalFormatting>
  <conditionalFormatting sqref="E89:F89">
    <cfRule type="expression" dxfId="42" priority="5" stopIfTrue="1">
      <formula>$E$87=2</formula>
    </cfRule>
  </conditionalFormatting>
  <conditionalFormatting sqref="H89">
    <cfRule type="expression" dxfId="41" priority="6" stopIfTrue="1">
      <formula>$E$87=4</formula>
    </cfRule>
  </conditionalFormatting>
  <conditionalFormatting sqref="D91:F91">
    <cfRule type="expression" dxfId="40" priority="7" stopIfTrue="1">
      <formula>$E$87=3</formula>
    </cfRule>
  </conditionalFormatting>
  <conditionalFormatting sqref="H91">
    <cfRule type="expression" dxfId="39" priority="8" stopIfTrue="1">
      <formula>$E$87=5</formula>
    </cfRule>
  </conditionalFormatting>
  <dataValidations count="2">
    <dataValidation type="list" allowBlank="1" showInputMessage="1" showErrorMessage="1" sqref="E87" xr:uid="{00000000-0002-0000-2400-000000000000}">
      <formula1>"1,2,3,4,5"</formula1>
    </dataValidation>
    <dataValidation type="list" allowBlank="1" showInputMessage="1" showErrorMessage="1" sqref="E40" xr:uid="{00000000-0002-0000-2400-000001000000}">
      <formula1>"1,2,3"</formula1>
    </dataValidation>
  </dataValidations>
  <hyperlinks>
    <hyperlink ref="N98:O98" location="hh_fn_CHOOSE" display="hh_fn_CHOOSE" xr:uid="{00000000-0004-0000-2400-000000000000}"/>
    <hyperlink ref="C98:D98" location="hh_index" display="hh_index" xr:uid="{00000000-0004-0000-2400-000001000000}"/>
    <hyperlink ref="G100:K100" r:id="rId1" display="https://www.tykoh.com/" xr:uid="{00000000-0004-0000-2400-000002000000}"/>
  </hyperlinks>
  <pageMargins left="0.75" right="0.75" top="1" bottom="1" header="0.5" footer="0.5"/>
  <pageSetup scale="49" orientation="portrait" r:id="rId2"/>
  <headerFooter alignWithMargins="0"/>
  <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5">
    <pageSetUpPr fitToPage="1"/>
  </sheetPr>
  <dimension ref="C1:O62"/>
  <sheetViews>
    <sheetView showGridLines="0" showRowColHeaders="0" topLeftCell="A52" workbookViewId="0">
      <selection activeCell="G61" sqref="G61:K61"/>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1018</v>
      </c>
    </row>
    <row r="4" spans="3:15" ht="13" thickTop="1">
      <c r="M4" s="1521" t="str">
        <f ca="1">OFFSET(ad_first,OFFSET(ads_top,ROW(ads_fn_COUNT)-1,1),0)</f>
        <v>Learn how to choose the best function to solve a problem when several functions are available by attending one of our workshops.</v>
      </c>
      <c r="N4" s="1522"/>
      <c r="O4" s="1523"/>
    </row>
    <row r="5" spans="3:15">
      <c r="C5" s="1585" t="s">
        <v>862</v>
      </c>
      <c r="D5" s="1585"/>
      <c r="E5" s="1585"/>
      <c r="F5" s="1585"/>
      <c r="G5" s="1585"/>
      <c r="H5" s="1585"/>
      <c r="I5" s="1585"/>
      <c r="J5" s="1585"/>
      <c r="K5" s="1585"/>
      <c r="L5" s="776"/>
      <c r="M5" s="1524"/>
      <c r="N5" s="1525"/>
      <c r="O5" s="1526"/>
    </row>
    <row r="6" spans="3:15">
      <c r="C6" s="1585"/>
      <c r="D6" s="1585"/>
      <c r="E6" s="1585"/>
      <c r="F6" s="1585"/>
      <c r="G6" s="1585"/>
      <c r="H6" s="1585"/>
      <c r="I6" s="1585"/>
      <c r="J6" s="1585"/>
      <c r="K6" s="1585"/>
      <c r="L6" s="776"/>
      <c r="M6" s="1524"/>
      <c r="N6" s="1525"/>
      <c r="O6" s="1526"/>
    </row>
    <row r="7" spans="3:15">
      <c r="C7" s="1585"/>
      <c r="D7" s="1585"/>
      <c r="E7" s="1585"/>
      <c r="F7" s="1585"/>
      <c r="G7" s="1585"/>
      <c r="H7" s="1585"/>
      <c r="I7" s="1585"/>
      <c r="J7" s="1585"/>
      <c r="K7" s="1585"/>
      <c r="L7" s="776"/>
      <c r="M7" s="1524"/>
      <c r="N7" s="1525"/>
      <c r="O7" s="1526"/>
    </row>
    <row r="8" spans="3:15" ht="13" thickBot="1">
      <c r="C8" s="1585"/>
      <c r="D8" s="1585"/>
      <c r="E8" s="1585"/>
      <c r="F8" s="1585"/>
      <c r="G8" s="1585"/>
      <c r="H8" s="1585"/>
      <c r="I8" s="1585"/>
      <c r="J8" s="1585"/>
      <c r="K8" s="1585"/>
      <c r="L8" s="776"/>
      <c r="M8" s="1527"/>
      <c r="N8" s="1528"/>
      <c r="O8" s="1529"/>
    </row>
    <row r="9" spans="3:15" ht="13" thickTop="1">
      <c r="M9" s="1310"/>
      <c r="N9" s="1311"/>
      <c r="O9" s="1311"/>
    </row>
    <row r="10" spans="3:15">
      <c r="C10" s="857"/>
      <c r="D10" s="857" t="s">
        <v>1363</v>
      </c>
      <c r="E10" s="857" t="s">
        <v>1364</v>
      </c>
      <c r="F10" s="857" t="s">
        <v>1473</v>
      </c>
      <c r="G10" s="857" t="s">
        <v>1474</v>
      </c>
      <c r="H10" s="857" t="s">
        <v>1475</v>
      </c>
      <c r="I10" s="857" t="s">
        <v>1476</v>
      </c>
      <c r="J10" s="857" t="s">
        <v>497</v>
      </c>
      <c r="K10" s="857" t="s">
        <v>1511</v>
      </c>
    </row>
    <row r="11" spans="3:15" ht="13" thickBot="1">
      <c r="C11" s="857">
        <v>1</v>
      </c>
      <c r="D11" s="791"/>
      <c r="E11" s="958"/>
      <c r="F11" s="958"/>
      <c r="G11" s="958"/>
      <c r="H11" s="791"/>
      <c r="I11" s="791"/>
      <c r="J11" s="791"/>
      <c r="K11" s="791"/>
    </row>
    <row r="12" spans="3:15">
      <c r="C12" s="857">
        <v>2</v>
      </c>
      <c r="D12" s="1018"/>
      <c r="E12" s="1117">
        <v>3</v>
      </c>
      <c r="F12" s="1118" t="e">
        <f>1/0</f>
        <v>#DIV/0!</v>
      </c>
      <c r="G12" s="1073"/>
      <c r="H12" s="809"/>
      <c r="I12" s="791"/>
      <c r="J12" s="791"/>
      <c r="K12" s="791"/>
    </row>
    <row r="13" spans="3:15" ht="13" thickBot="1">
      <c r="C13" s="857">
        <v>3</v>
      </c>
      <c r="D13" s="1018"/>
      <c r="E13" s="1119" t="s">
        <v>48</v>
      </c>
      <c r="F13" s="1072">
        <v>4</v>
      </c>
      <c r="G13" s="1121"/>
      <c r="H13" s="809"/>
      <c r="I13" s="791"/>
      <c r="J13" s="791"/>
      <c r="K13" s="791"/>
    </row>
    <row r="14" spans="3:15">
      <c r="C14" s="857">
        <v>4</v>
      </c>
      <c r="D14" s="791"/>
      <c r="E14" s="963"/>
      <c r="F14" s="963"/>
      <c r="G14" s="963"/>
      <c r="H14" s="791"/>
      <c r="I14" s="791"/>
      <c r="J14" s="791"/>
      <c r="K14" s="791"/>
    </row>
    <row r="15" spans="3:15">
      <c r="C15" s="857">
        <v>5</v>
      </c>
      <c r="D15" s="791"/>
      <c r="E15" s="791">
        <f>COUNT(E12:G13)</f>
        <v>2</v>
      </c>
      <c r="F15" s="900" t="s">
        <v>1000</v>
      </c>
      <c r="G15" s="791"/>
      <c r="H15" s="791"/>
      <c r="I15" s="791"/>
      <c r="J15" s="791"/>
      <c r="K15" s="791"/>
    </row>
    <row r="16" spans="3:15">
      <c r="C16" s="857">
        <v>6</v>
      </c>
      <c r="D16" s="791"/>
      <c r="E16" s="791"/>
      <c r="F16" s="791"/>
      <c r="G16" s="791"/>
      <c r="H16" s="791"/>
      <c r="I16" s="791"/>
      <c r="J16" s="791"/>
      <c r="K16" s="791"/>
    </row>
    <row r="17" spans="3:15"/>
    <row r="18" spans="3:15">
      <c r="C18" s="1585" t="s">
        <v>863</v>
      </c>
      <c r="D18" s="1585"/>
      <c r="E18" s="1585"/>
      <c r="F18" s="1585"/>
      <c r="G18" s="1585"/>
      <c r="H18" s="1585"/>
      <c r="I18" s="1585"/>
      <c r="J18" s="1585"/>
      <c r="K18" s="1585"/>
      <c r="L18" s="1585"/>
      <c r="M18" s="1585"/>
      <c r="N18" s="1585"/>
      <c r="O18" s="1585"/>
    </row>
    <row r="19" spans="3:15">
      <c r="C19" s="1585"/>
      <c r="D19" s="1585"/>
      <c r="E19" s="1585"/>
      <c r="F19" s="1585"/>
      <c r="G19" s="1585"/>
      <c r="H19" s="1585"/>
      <c r="I19" s="1585"/>
      <c r="J19" s="1585"/>
      <c r="K19" s="1585"/>
      <c r="L19" s="1585"/>
      <c r="M19" s="1585"/>
      <c r="N19" s="1585"/>
      <c r="O19" s="1585"/>
    </row>
    <row r="20" spans="3:15" ht="13" thickBot="1"/>
    <row r="21" spans="3:15" ht="13" thickTop="1">
      <c r="C21" s="857"/>
      <c r="D21" s="857" t="s">
        <v>1363</v>
      </c>
      <c r="E21" s="857" t="s">
        <v>1364</v>
      </c>
      <c r="F21" s="857" t="s">
        <v>1473</v>
      </c>
      <c r="G21" s="857" t="s">
        <v>1474</v>
      </c>
      <c r="H21" s="857" t="s">
        <v>1475</v>
      </c>
      <c r="I21" s="857" t="s">
        <v>1476</v>
      </c>
      <c r="J21" s="857" t="s">
        <v>497</v>
      </c>
      <c r="K21" s="857" t="s">
        <v>1511</v>
      </c>
      <c r="M21" s="1545" t="str">
        <f ca="1">OFFSET(ad_first,OFFSET(ads_top,ROW(ads_fn_COUNT)-1,2),0)</f>
        <v>Feedback from our Visual Basic course: "The material covered will be very useful at work as the CD and workbook provided"</v>
      </c>
      <c r="N21" s="1689"/>
      <c r="O21" s="1690"/>
    </row>
    <row r="22" spans="3:15" ht="13" thickBot="1">
      <c r="C22" s="857">
        <v>1</v>
      </c>
      <c r="D22" s="958"/>
      <c r="E22" s="958"/>
      <c r="F22" s="958"/>
      <c r="G22" s="791"/>
      <c r="H22" s="791"/>
      <c r="I22" s="791"/>
      <c r="J22" s="791"/>
      <c r="K22" s="791"/>
      <c r="M22" s="1691"/>
      <c r="N22" s="1692"/>
      <c r="O22" s="1693"/>
    </row>
    <row r="23" spans="3:15">
      <c r="C23" s="949">
        <v>2</v>
      </c>
      <c r="D23" s="1117">
        <v>3</v>
      </c>
      <c r="E23" s="1118">
        <v>4</v>
      </c>
      <c r="F23" s="1124">
        <v>5</v>
      </c>
      <c r="G23" s="809"/>
      <c r="H23" s="791"/>
      <c r="I23" s="791"/>
      <c r="J23" s="791"/>
      <c r="K23" s="791"/>
      <c r="M23" s="1691"/>
      <c r="N23" s="1692"/>
      <c r="O23" s="1693"/>
    </row>
    <row r="24" spans="3:15">
      <c r="C24" s="949">
        <v>3</v>
      </c>
      <c r="D24" s="1123">
        <v>6</v>
      </c>
      <c r="E24" s="1116">
        <v>7</v>
      </c>
      <c r="F24" s="1125">
        <v>8</v>
      </c>
      <c r="G24" s="809"/>
      <c r="H24" s="791"/>
      <c r="I24" s="791"/>
      <c r="J24" s="791"/>
      <c r="K24" s="791"/>
      <c r="M24" s="1691"/>
      <c r="N24" s="1692"/>
      <c r="O24" s="1693"/>
    </row>
    <row r="25" spans="3:15" ht="13" thickBot="1">
      <c r="C25" s="949">
        <v>4</v>
      </c>
      <c r="D25" s="1123">
        <v>9</v>
      </c>
      <c r="E25" s="1122">
        <v>10</v>
      </c>
      <c r="F25" s="1125">
        <v>11</v>
      </c>
      <c r="G25" s="809"/>
      <c r="H25" s="791"/>
      <c r="I25" s="791"/>
      <c r="J25" s="791"/>
      <c r="K25" s="791"/>
      <c r="M25" s="1694"/>
      <c r="N25" s="1695"/>
      <c r="O25" s="1696"/>
    </row>
    <row r="26" spans="3:15" ht="13.5" thickTop="1" thickBot="1">
      <c r="C26" s="949">
        <v>5</v>
      </c>
      <c r="D26" s="1119">
        <v>12</v>
      </c>
      <c r="E26" s="1120">
        <v>13</v>
      </c>
      <c r="F26" s="1121">
        <v>14</v>
      </c>
      <c r="G26" s="809"/>
      <c r="H26" s="791"/>
      <c r="I26" s="791"/>
      <c r="J26" s="791"/>
      <c r="K26" s="791"/>
    </row>
    <row r="27" spans="3:15">
      <c r="C27" s="857">
        <v>6</v>
      </c>
      <c r="D27" s="963"/>
      <c r="E27" s="963"/>
      <c r="F27" s="963"/>
      <c r="G27" s="791"/>
      <c r="H27" s="791"/>
      <c r="I27" s="791"/>
      <c r="J27" s="791"/>
      <c r="K27" s="791"/>
    </row>
    <row r="28" spans="3:15">
      <c r="C28" s="857">
        <v>7</v>
      </c>
      <c r="D28" s="791" t="str">
        <f>IF(ROWS(D23:F26)*COLUMNS(D23:F26)&lt;&gt;COUNT(D23:F26),"Error","ok")</f>
        <v>ok</v>
      </c>
      <c r="E28" s="900" t="s">
        <v>1392</v>
      </c>
      <c r="F28" s="791"/>
      <c r="G28" s="791"/>
      <c r="H28" s="791"/>
      <c r="I28" s="791"/>
      <c r="J28" s="791"/>
      <c r="K28" s="791"/>
    </row>
    <row r="29" spans="3:15">
      <c r="C29" s="857">
        <v>8</v>
      </c>
      <c r="D29" s="791"/>
      <c r="E29" s="791"/>
      <c r="F29" s="791"/>
      <c r="G29" s="791"/>
      <c r="H29" s="791"/>
      <c r="I29" s="791"/>
      <c r="J29" s="791"/>
      <c r="K29" s="791"/>
    </row>
    <row r="30" spans="3:15"/>
    <row r="31" spans="3:15">
      <c r="C31" s="1585" t="s">
        <v>1409</v>
      </c>
      <c r="D31" s="1585"/>
      <c r="E31" s="1585"/>
      <c r="F31" s="1585"/>
      <c r="G31" s="1585"/>
      <c r="H31" s="1585"/>
      <c r="I31" s="1585"/>
      <c r="J31" s="1585"/>
      <c r="K31" s="1585"/>
      <c r="L31" s="1585"/>
      <c r="M31" s="1585"/>
      <c r="N31" s="1585"/>
      <c r="O31" s="1585"/>
    </row>
    <row r="32" spans="3:15">
      <c r="C32" s="1585"/>
      <c r="D32" s="1585"/>
      <c r="E32" s="1585"/>
      <c r="F32" s="1585"/>
      <c r="G32" s="1585"/>
      <c r="H32" s="1585"/>
      <c r="I32" s="1585"/>
      <c r="J32" s="1585"/>
      <c r="K32" s="1585"/>
      <c r="L32" s="1585"/>
      <c r="M32" s="1585"/>
      <c r="N32" s="1585"/>
      <c r="O32" s="1585"/>
    </row>
    <row r="33" spans="3:15">
      <c r="C33" s="1585"/>
      <c r="D33" s="1585"/>
      <c r="E33" s="1585"/>
      <c r="F33" s="1585"/>
      <c r="G33" s="1585"/>
      <c r="H33" s="1585"/>
      <c r="I33" s="1585"/>
      <c r="J33" s="1585"/>
      <c r="K33" s="1585"/>
      <c r="L33" s="1585"/>
      <c r="M33" s="1585"/>
      <c r="N33" s="1585"/>
      <c r="O33" s="1585"/>
    </row>
    <row r="34" spans="3:15"/>
    <row r="35" spans="3:15">
      <c r="C35" s="1585" t="s">
        <v>1411</v>
      </c>
      <c r="D35" s="1585"/>
      <c r="E35" s="1585"/>
      <c r="F35" s="1585"/>
      <c r="G35" s="1585"/>
      <c r="H35" s="1585"/>
      <c r="I35" s="1585"/>
      <c r="J35" s="1585"/>
      <c r="K35" s="1585"/>
      <c r="L35" s="1585"/>
      <c r="M35" s="1585"/>
      <c r="N35" s="1585"/>
      <c r="O35" s="1585"/>
    </row>
    <row r="36" spans="3:15">
      <c r="C36" s="1585"/>
      <c r="D36" s="1585"/>
      <c r="E36" s="1585"/>
      <c r="F36" s="1585"/>
      <c r="G36" s="1585"/>
      <c r="H36" s="1585"/>
      <c r="I36" s="1585"/>
      <c r="J36" s="1585"/>
      <c r="K36" s="1585"/>
      <c r="L36" s="1585"/>
      <c r="M36" s="1585"/>
      <c r="N36" s="1585"/>
      <c r="O36" s="1585"/>
    </row>
    <row r="37" spans="3:15">
      <c r="C37" s="1585"/>
      <c r="D37" s="1585"/>
      <c r="E37" s="1585"/>
      <c r="F37" s="1585"/>
      <c r="G37" s="1585"/>
      <c r="H37" s="1585"/>
      <c r="I37" s="1585"/>
      <c r="J37" s="1585"/>
      <c r="K37" s="1585"/>
      <c r="L37" s="1585"/>
      <c r="M37" s="1585"/>
      <c r="N37" s="1585"/>
      <c r="O37" s="1585"/>
    </row>
    <row r="38" spans="3:15" ht="13" thickBot="1"/>
    <row r="39" spans="3:15" ht="13" thickTop="1">
      <c r="C39" s="857"/>
      <c r="D39" s="857" t="s">
        <v>1363</v>
      </c>
      <c r="E39" s="857" t="s">
        <v>1364</v>
      </c>
      <c r="F39" s="857" t="s">
        <v>1473</v>
      </c>
      <c r="G39" s="857" t="s">
        <v>1474</v>
      </c>
      <c r="H39" s="857" t="s">
        <v>1475</v>
      </c>
      <c r="I39" s="857" t="s">
        <v>1476</v>
      </c>
      <c r="J39" s="857" t="s">
        <v>497</v>
      </c>
      <c r="K39" s="857" t="s">
        <v>1511</v>
      </c>
      <c r="M39" s="1521" t="str">
        <f ca="1">OFFSET(ad_first,OFFSET(ads_top,ROW(ads_fn_COUNT)-1,3),0)</f>
        <v>Review how financial statements can be modelled in spreadsheets - attend one of our workshops</v>
      </c>
      <c r="N39" s="1522"/>
      <c r="O39" s="1523"/>
    </row>
    <row r="40" spans="3:15" ht="13" thickBot="1">
      <c r="C40" s="857">
        <v>1</v>
      </c>
      <c r="D40" s="958"/>
      <c r="E40" s="958"/>
      <c r="F40" s="958"/>
      <c r="G40" s="791"/>
      <c r="H40" s="791"/>
      <c r="I40" s="791"/>
      <c r="J40" s="791"/>
      <c r="K40" s="791"/>
      <c r="M40" s="1524"/>
      <c r="N40" s="1525"/>
      <c r="O40" s="1526"/>
    </row>
    <row r="41" spans="3:15">
      <c r="C41" s="949">
        <v>2</v>
      </c>
      <c r="D41" s="1117">
        <v>3</v>
      </c>
      <c r="E41" s="1118">
        <v>4</v>
      </c>
      <c r="F41" s="1124">
        <v>5</v>
      </c>
      <c r="G41" s="809"/>
      <c r="H41" s="791"/>
      <c r="I41" s="791"/>
      <c r="J41" s="791"/>
      <c r="K41" s="791"/>
      <c r="M41" s="1524"/>
      <c r="N41" s="1525"/>
      <c r="O41" s="1526"/>
    </row>
    <row r="42" spans="3:15">
      <c r="C42" s="949">
        <v>3</v>
      </c>
      <c r="D42" s="1123">
        <v>6</v>
      </c>
      <c r="E42" s="1116" t="s">
        <v>1134</v>
      </c>
      <c r="F42" s="1125">
        <v>8</v>
      </c>
      <c r="G42" s="809"/>
      <c r="H42" s="791"/>
      <c r="I42" s="791"/>
      <c r="J42" s="791"/>
      <c r="K42" s="791"/>
      <c r="M42" s="1524"/>
      <c r="N42" s="1525"/>
      <c r="O42" s="1526"/>
    </row>
    <row r="43" spans="3:15" ht="13" thickBot="1">
      <c r="C43" s="949">
        <v>4</v>
      </c>
      <c r="D43" s="1123">
        <v>9</v>
      </c>
      <c r="E43" s="1122">
        <v>10</v>
      </c>
      <c r="F43" s="1125">
        <v>11</v>
      </c>
      <c r="G43" s="809"/>
      <c r="H43" s="791"/>
      <c r="I43" s="791"/>
      <c r="J43" s="791"/>
      <c r="K43" s="791"/>
      <c r="M43" s="1527"/>
      <c r="N43" s="1528"/>
      <c r="O43" s="1529"/>
    </row>
    <row r="44" spans="3:15" ht="13.5" thickTop="1" thickBot="1">
      <c r="C44" s="949">
        <v>5</v>
      </c>
      <c r="D44" s="1119">
        <v>12</v>
      </c>
      <c r="E44" s="1120">
        <v>13</v>
      </c>
      <c r="F44" s="1121">
        <v>14</v>
      </c>
      <c r="G44" s="809"/>
      <c r="H44" s="791"/>
      <c r="I44" s="791"/>
      <c r="J44" s="791"/>
      <c r="K44" s="791"/>
      <c r="M44" s="1310"/>
      <c r="N44" s="1311"/>
      <c r="O44" s="1311"/>
    </row>
    <row r="45" spans="3:15">
      <c r="C45" s="857">
        <v>6</v>
      </c>
      <c r="D45" s="963"/>
      <c r="E45" s="963"/>
      <c r="F45" s="963"/>
      <c r="G45" s="791"/>
      <c r="H45" s="791"/>
      <c r="I45" s="791"/>
      <c r="J45" s="791"/>
      <c r="K45" s="791"/>
    </row>
    <row r="46" spans="3:15">
      <c r="C46" s="857">
        <v>7</v>
      </c>
      <c r="D46" s="791" t="str">
        <f>IF(ROWS(D41:F44)*COLUMNS(D41:F44)&lt;&gt;COUNT(D41:F44),"Error","ok")</f>
        <v>Error</v>
      </c>
      <c r="E46" s="900" t="s">
        <v>1392</v>
      </c>
      <c r="F46" s="791"/>
      <c r="G46" s="791"/>
      <c r="H46" s="791"/>
      <c r="I46" s="791"/>
      <c r="J46" s="791"/>
      <c r="K46" s="791"/>
    </row>
    <row r="47" spans="3:15">
      <c r="C47" s="857">
        <v>8</v>
      </c>
      <c r="D47" s="791"/>
      <c r="E47" s="791"/>
      <c r="F47" s="791"/>
      <c r="G47" s="791"/>
      <c r="H47" s="791"/>
      <c r="I47" s="791"/>
      <c r="J47" s="791"/>
      <c r="K47" s="791"/>
    </row>
    <row r="48" spans="3:15"/>
    <row r="49" spans="3:15"/>
    <row r="50" spans="3:15"/>
    <row r="51" spans="3:15">
      <c r="C51" s="1585" t="str">
        <f>IF(D57,C55,"")</f>
        <v/>
      </c>
      <c r="D51" s="1585"/>
      <c r="E51" s="1585"/>
      <c r="F51" s="1585"/>
      <c r="G51" s="1585"/>
      <c r="H51" s="1585"/>
      <c r="I51" s="1585"/>
      <c r="J51" s="1585"/>
      <c r="K51" s="1585"/>
      <c r="L51" s="1585"/>
      <c r="M51" s="1585"/>
      <c r="N51" s="1585"/>
      <c r="O51" s="1585"/>
    </row>
    <row r="52" spans="3:15">
      <c r="C52" s="1585"/>
      <c r="D52" s="1585"/>
      <c r="E52" s="1585"/>
      <c r="F52" s="1585"/>
      <c r="G52" s="1585"/>
      <c r="H52" s="1585"/>
      <c r="I52" s="1585"/>
      <c r="J52" s="1585"/>
      <c r="K52" s="1585"/>
      <c r="L52" s="1585"/>
      <c r="M52" s="1585"/>
      <c r="N52" s="1585"/>
      <c r="O52" s="1585"/>
    </row>
    <row r="55" spans="3:15" hidden="1">
      <c r="C55" s="1585" t="s">
        <v>1410</v>
      </c>
      <c r="D55" s="1585"/>
      <c r="E55" s="1585"/>
      <c r="F55" s="1585"/>
      <c r="G55" s="1585"/>
      <c r="H55" s="1585"/>
      <c r="I55" s="1585"/>
      <c r="J55" s="1585"/>
      <c r="K55" s="1585"/>
      <c r="L55" s="1585"/>
      <c r="M55" s="1585"/>
      <c r="N55" s="1585"/>
      <c r="O55" s="1585"/>
    </row>
    <row r="56" spans="3:15" hidden="1">
      <c r="C56" s="1585"/>
      <c r="D56" s="1585"/>
      <c r="E56" s="1585"/>
      <c r="F56" s="1585"/>
      <c r="G56" s="1585"/>
      <c r="H56" s="1585"/>
      <c r="I56" s="1585"/>
      <c r="J56" s="1585"/>
      <c r="K56" s="1585"/>
      <c r="L56" s="1585"/>
      <c r="M56" s="1585"/>
      <c r="N56" s="1585"/>
      <c r="O56" s="1585"/>
    </row>
    <row r="57" spans="3:15" hidden="1">
      <c r="D57" s="1126" t="b">
        <v>0</v>
      </c>
    </row>
    <row r="58" spans="3:15"/>
    <row r="59" spans="3:15">
      <c r="C59" s="1697" t="str">
        <f>back_to_index</f>
        <v>Back to contents</v>
      </c>
      <c r="D59" s="1697"/>
      <c r="G59" s="1530" t="str">
        <f>page_prefix &amp; page_fn_COUNT&amp; page_suffix</f>
        <v>- Page 25 -</v>
      </c>
      <c r="H59" s="1530"/>
      <c r="I59" s="1530"/>
      <c r="J59" s="1481"/>
      <c r="K59" s="1481"/>
      <c r="N59" s="1640" t="str">
        <f>back_to_top</f>
        <v>Back to top</v>
      </c>
      <c r="O59" s="1640"/>
    </row>
    <row r="60" spans="3:15">
      <c r="G60" s="1530" t="str">
        <f>copyright</f>
        <v>Copyright (c) 2009 Tykoh Group Pty Limited</v>
      </c>
      <c r="H60" s="1530"/>
      <c r="I60" s="1530"/>
      <c r="J60" s="1481"/>
      <c r="K60" s="1481"/>
    </row>
    <row r="61" spans="3:15">
      <c r="G61" s="1452" t="str">
        <f>home_address</f>
        <v>www.tykoh.com</v>
      </c>
      <c r="H61" s="1452"/>
      <c r="I61" s="1452"/>
      <c r="J61" s="1452"/>
      <c r="K61" s="1452"/>
    </row>
    <row r="62" spans="3:15"/>
  </sheetData>
  <sheetProtection algorithmName="SHA-512" hashValue="Elr64Fs9HfG6kBZEj8uGKBVc2zSFVMMHG4aqFYiorf9bQEyevfMZesOfWvO6BFvyjnWalT3y+jKofY+4D7pdHQ==" saltValue="Ms4gnhQ3++QtcyUQpJt/FA==" spinCount="100000" sheet="1" objects="1" scenarios="1"/>
  <mergeCells count="14">
    <mergeCell ref="C18:O19"/>
    <mergeCell ref="C31:O33"/>
    <mergeCell ref="C35:O37"/>
    <mergeCell ref="M4:O8"/>
    <mergeCell ref="C5:K8"/>
    <mergeCell ref="M21:O25"/>
    <mergeCell ref="M39:O43"/>
    <mergeCell ref="C55:O56"/>
    <mergeCell ref="C51:O52"/>
    <mergeCell ref="G61:K61"/>
    <mergeCell ref="C59:D59"/>
    <mergeCell ref="G59:K59"/>
    <mergeCell ref="N59:O59"/>
    <mergeCell ref="G60:K60"/>
  </mergeCells>
  <phoneticPr fontId="2" type="noConversion"/>
  <hyperlinks>
    <hyperlink ref="N59:O59" location="hh_fn_COUNT" display="hh_fn_COUNT" xr:uid="{00000000-0004-0000-2500-000000000000}"/>
    <hyperlink ref="C59:D59" location="hh_index" display="hh_index" xr:uid="{00000000-0004-0000-2500-000001000000}"/>
    <hyperlink ref="G61:K61" r:id="rId1" display="https://www.tykoh.com/" xr:uid="{00000000-0004-0000-2500-000002000000}"/>
  </hyperlinks>
  <pageMargins left="0.75" right="0.75" top="1" bottom="1" header="0.5" footer="0.5"/>
  <pageSetup scale="74"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79875" r:id="rId5" name="Check Box 3">
              <controlPr defaultSize="0" autoFill="0" autoLine="0" autoPict="0">
                <anchor moveWithCells="1">
                  <from>
                    <xdr:col>1</xdr:col>
                    <xdr:colOff>50800</xdr:colOff>
                    <xdr:row>47</xdr:row>
                    <xdr:rowOff>152400</xdr:rowOff>
                  </from>
                  <to>
                    <xdr:col>4</xdr:col>
                    <xdr:colOff>381000</xdr:colOff>
                    <xdr:row>49</xdr:row>
                    <xdr:rowOff>44450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6"/>
  <dimension ref="C1:P91"/>
  <sheetViews>
    <sheetView showGridLines="0" showRowColHeaders="0" topLeftCell="A65" zoomScaleNormal="100" workbookViewId="0">
      <selection activeCell="G90" sqref="G90:K90"/>
    </sheetView>
  </sheetViews>
  <sheetFormatPr defaultColWidth="0" defaultRowHeight="12.5" zeroHeight="1"/>
  <cols>
    <col min="1" max="2" width="1" style="32" customWidth="1"/>
    <col min="3" max="12" width="9.1796875" style="32" customWidth="1"/>
    <col min="13" max="15" width="9.1796875" style="33" customWidth="1"/>
    <col min="16" max="16" width="1.81640625" style="32" customWidth="1"/>
    <col min="17" max="16384" width="0" style="32" hidden="1"/>
  </cols>
  <sheetData>
    <row r="1" spans="3:16"/>
    <row r="2" spans="3:16">
      <c r="C2" s="103"/>
      <c r="D2" s="103"/>
      <c r="E2" s="103"/>
      <c r="F2" s="103"/>
      <c r="G2" s="103"/>
      <c r="H2" s="103"/>
      <c r="I2" s="103"/>
      <c r="J2" s="103"/>
      <c r="K2" s="103"/>
      <c r="L2" s="103"/>
      <c r="M2" s="103"/>
      <c r="N2" s="103"/>
      <c r="O2" s="103"/>
    </row>
    <row r="3" spans="3:16" ht="16" thickBot="1">
      <c r="C3" s="416" t="s">
        <v>1019</v>
      </c>
      <c r="N3" s="1129"/>
      <c r="O3" s="1129"/>
      <c r="P3" s="33"/>
    </row>
    <row r="4" spans="3:16" ht="12.75" customHeight="1" thickTop="1">
      <c r="M4" s="1521" t="str">
        <f ca="1">OFFSET(ad_first,OFFSET(ads_top,ROW(ads_fn_COUNTIF)-1,1),0)</f>
        <v>Our Visual Basic course shows how to increase work efficiency by making shortcuts for common tasks</v>
      </c>
      <c r="N4" s="1522"/>
      <c r="O4" s="1523"/>
    </row>
    <row r="5" spans="3:16" ht="13.5" customHeight="1">
      <c r="C5" s="1585" t="s">
        <v>22</v>
      </c>
      <c r="D5" s="1585"/>
      <c r="E5" s="1585"/>
      <c r="F5" s="1585"/>
      <c r="G5" s="1585"/>
      <c r="H5" s="1585"/>
      <c r="I5" s="1585"/>
      <c r="J5" s="1585"/>
      <c r="K5" s="1585"/>
      <c r="L5" s="1705"/>
      <c r="M5" s="1524"/>
      <c r="N5" s="1525"/>
      <c r="O5" s="1526"/>
    </row>
    <row r="6" spans="3:16">
      <c r="C6" s="1585"/>
      <c r="D6" s="1585"/>
      <c r="E6" s="1585"/>
      <c r="F6" s="1585"/>
      <c r="G6" s="1585"/>
      <c r="H6" s="1585"/>
      <c r="I6" s="1585"/>
      <c r="J6" s="1585"/>
      <c r="K6" s="1585"/>
      <c r="L6" s="1705"/>
      <c r="M6" s="1524"/>
      <c r="N6" s="1525"/>
      <c r="O6" s="1526"/>
    </row>
    <row r="7" spans="3:16">
      <c r="C7" s="1585"/>
      <c r="D7" s="1585"/>
      <c r="E7" s="1585"/>
      <c r="F7" s="1585"/>
      <c r="G7" s="1585"/>
      <c r="H7" s="1585"/>
      <c r="I7" s="1585"/>
      <c r="J7" s="1585"/>
      <c r="K7" s="1585"/>
      <c r="L7" s="1705"/>
      <c r="M7" s="1524"/>
      <c r="N7" s="1525"/>
      <c r="O7" s="1526"/>
    </row>
    <row r="8" spans="3:16" ht="13" thickBot="1">
      <c r="C8" s="1585"/>
      <c r="D8" s="1585"/>
      <c r="E8" s="1585"/>
      <c r="F8" s="1585"/>
      <c r="G8" s="1585"/>
      <c r="H8" s="1585"/>
      <c r="I8" s="1585"/>
      <c r="J8" s="1585"/>
      <c r="K8" s="1585"/>
      <c r="L8" s="1705"/>
      <c r="M8" s="1527"/>
      <c r="N8" s="1528"/>
      <c r="O8" s="1529"/>
    </row>
    <row r="9" spans="3:16" ht="13" thickTop="1">
      <c r="C9" s="263"/>
      <c r="D9" s="263"/>
      <c r="E9" s="263"/>
      <c r="F9" s="263"/>
      <c r="G9" s="263"/>
      <c r="H9" s="263"/>
      <c r="I9" s="263"/>
      <c r="J9" s="263"/>
      <c r="K9" s="263"/>
      <c r="M9" s="1310"/>
      <c r="N9" s="1311"/>
      <c r="O9" s="1311"/>
    </row>
    <row r="10" spans="3:16">
      <c r="C10" s="1585" t="s">
        <v>762</v>
      </c>
      <c r="D10" s="1675"/>
      <c r="E10" s="1675"/>
      <c r="F10" s="1675"/>
      <c r="G10" s="1675"/>
      <c r="H10" s="1675"/>
      <c r="I10" s="1675"/>
      <c r="J10" s="1675"/>
      <c r="K10" s="1675"/>
      <c r="L10" s="1675"/>
      <c r="M10" s="22"/>
      <c r="N10" s="22"/>
      <c r="O10" s="22"/>
    </row>
    <row r="11" spans="3:16" ht="13">
      <c r="C11" s="22" t="s">
        <v>763</v>
      </c>
      <c r="D11" s="21"/>
      <c r="E11" s="21"/>
      <c r="F11" s="21"/>
      <c r="G11" s="21"/>
      <c r="H11" s="21"/>
      <c r="I11" s="21"/>
      <c r="J11" s="21"/>
      <c r="K11" s="21"/>
      <c r="L11" s="21"/>
      <c r="M11" s="1128"/>
      <c r="N11" s="1128"/>
      <c r="O11" s="1128"/>
    </row>
    <row r="12" spans="3:16" ht="13">
      <c r="C12" s="22"/>
      <c r="D12" s="21"/>
      <c r="E12" s="21"/>
      <c r="F12" s="21"/>
      <c r="G12" s="21"/>
      <c r="H12" s="21"/>
      <c r="I12" s="21"/>
      <c r="J12" s="21"/>
      <c r="K12" s="21"/>
      <c r="L12" s="21"/>
      <c r="M12" s="1128"/>
      <c r="N12" s="1128"/>
      <c r="O12" s="1128"/>
    </row>
    <row r="13" spans="3:16">
      <c r="C13" s="1585" t="s">
        <v>168</v>
      </c>
      <c r="D13" s="1518"/>
      <c r="E13" s="1518"/>
      <c r="F13" s="1518"/>
      <c r="G13" s="1518"/>
      <c r="H13" s="1518"/>
      <c r="I13" s="1518"/>
      <c r="J13" s="1518"/>
      <c r="K13" s="1518"/>
      <c r="L13" s="1518"/>
      <c r="M13" s="1518"/>
      <c r="N13" s="1518"/>
      <c r="O13" s="1518"/>
    </row>
    <row r="14" spans="3:16">
      <c r="C14" s="1585"/>
      <c r="D14" s="1518"/>
      <c r="E14" s="1518"/>
      <c r="F14" s="1518"/>
      <c r="G14" s="1518"/>
      <c r="H14" s="1518"/>
      <c r="I14" s="1518"/>
      <c r="J14" s="1518"/>
      <c r="K14" s="1518"/>
      <c r="L14" s="1518"/>
      <c r="M14" s="1518"/>
      <c r="N14" s="1518"/>
      <c r="O14" s="1518"/>
    </row>
    <row r="15" spans="3:16">
      <c r="C15" s="1585"/>
      <c r="D15" s="1518"/>
      <c r="E15" s="1518"/>
      <c r="F15" s="1518"/>
      <c r="G15" s="1518"/>
      <c r="H15" s="1518"/>
      <c r="I15" s="1518"/>
      <c r="J15" s="1518"/>
      <c r="K15" s="1518"/>
      <c r="L15" s="1518"/>
      <c r="M15" s="1518"/>
      <c r="N15" s="1518"/>
      <c r="O15" s="1518"/>
    </row>
    <row r="16" spans="3:16">
      <c r="C16" s="619"/>
      <c r="D16" s="619"/>
      <c r="E16" s="619"/>
      <c r="F16" s="619"/>
      <c r="G16" s="619"/>
      <c r="H16" s="619"/>
      <c r="I16" s="619"/>
      <c r="J16" s="619"/>
      <c r="K16" s="619"/>
      <c r="L16" s="619"/>
      <c r="M16" s="619"/>
      <c r="N16" s="619"/>
      <c r="O16" s="619"/>
    </row>
    <row r="17" spans="3:15">
      <c r="C17" s="857"/>
      <c r="D17" s="857" t="s">
        <v>1363</v>
      </c>
      <c r="E17" s="857" t="s">
        <v>1364</v>
      </c>
      <c r="F17" s="857" t="s">
        <v>1473</v>
      </c>
      <c r="G17" s="857" t="s">
        <v>1474</v>
      </c>
      <c r="H17" s="857" t="s">
        <v>1475</v>
      </c>
      <c r="I17" s="857" t="s">
        <v>1476</v>
      </c>
      <c r="J17" s="857" t="s">
        <v>497</v>
      </c>
      <c r="K17" s="857" t="s">
        <v>1511</v>
      </c>
    </row>
    <row r="18" spans="3:15" ht="13" thickBot="1">
      <c r="C18" s="857">
        <v>1</v>
      </c>
      <c r="D18" s="791"/>
      <c r="E18" s="791"/>
      <c r="F18" s="1089">
        <v>40087</v>
      </c>
      <c r="G18" s="1089">
        <v>40118</v>
      </c>
      <c r="H18" s="1089">
        <v>40148</v>
      </c>
      <c r="I18" s="1089">
        <v>40179</v>
      </c>
      <c r="J18" s="1089">
        <v>40210</v>
      </c>
      <c r="K18" s="1089">
        <v>40238</v>
      </c>
    </row>
    <row r="19" spans="3:15" ht="13" thickBot="1">
      <c r="C19" s="857">
        <v>2</v>
      </c>
      <c r="D19" s="791" t="s">
        <v>903</v>
      </c>
      <c r="E19" s="1018"/>
      <c r="F19" s="1090" t="s">
        <v>1363</v>
      </c>
      <c r="G19" s="1091" t="s">
        <v>1364</v>
      </c>
      <c r="H19" s="1091" t="s">
        <v>1473</v>
      </c>
      <c r="I19" s="1091" t="s">
        <v>1364</v>
      </c>
      <c r="J19" s="1091" t="s">
        <v>1474</v>
      </c>
      <c r="K19" s="1092" t="s">
        <v>1473</v>
      </c>
    </row>
    <row r="20" spans="3:15">
      <c r="C20" s="857">
        <v>3</v>
      </c>
      <c r="D20" s="791"/>
      <c r="E20" s="791"/>
      <c r="F20" s="963"/>
      <c r="G20" s="963"/>
      <c r="H20" s="963"/>
      <c r="I20" s="963"/>
      <c r="J20" s="963"/>
      <c r="K20" s="963"/>
    </row>
    <row r="21" spans="3:15">
      <c r="C21" s="857">
        <f>C20+1</f>
        <v>4</v>
      </c>
      <c r="D21" s="791" t="s">
        <v>907</v>
      </c>
      <c r="E21" s="791"/>
      <c r="F21" s="791"/>
      <c r="G21" s="791"/>
      <c r="H21" s="857">
        <f>COUNTIF(F19:K19,"A")</f>
        <v>1</v>
      </c>
      <c r="I21" s="900" t="s">
        <v>904</v>
      </c>
      <c r="J21" s="791"/>
      <c r="K21" s="791"/>
    </row>
    <row r="22" spans="3:15">
      <c r="C22" s="857">
        <f>C21+1</f>
        <v>5</v>
      </c>
      <c r="D22" s="791"/>
      <c r="E22" s="791"/>
      <c r="F22" s="791"/>
      <c r="G22" s="791"/>
      <c r="H22" s="857"/>
      <c r="I22" s="900"/>
      <c r="J22" s="791"/>
      <c r="K22" s="791"/>
    </row>
    <row r="23" spans="3:15">
      <c r="C23" s="857">
        <f>C22+1</f>
        <v>6</v>
      </c>
      <c r="D23" s="791" t="s">
        <v>907</v>
      </c>
      <c r="E23" s="791"/>
      <c r="F23" s="791"/>
      <c r="G23" s="791"/>
      <c r="H23" s="857">
        <f>COUNTIF(F19:K19,"=A")</f>
        <v>1</v>
      </c>
      <c r="I23" s="900" t="s">
        <v>1413</v>
      </c>
      <c r="J23" s="791"/>
      <c r="K23" s="791"/>
    </row>
    <row r="24" spans="3:15">
      <c r="C24" s="857">
        <f>C23+1</f>
        <v>7</v>
      </c>
      <c r="D24" s="791"/>
      <c r="E24" s="791"/>
      <c r="F24" s="791"/>
      <c r="G24" s="791"/>
      <c r="H24" s="791"/>
      <c r="I24" s="791"/>
      <c r="J24" s="791"/>
      <c r="K24" s="791"/>
    </row>
    <row r="25" spans="3:15"/>
    <row r="26" spans="3:15">
      <c r="C26" s="32" t="s">
        <v>169</v>
      </c>
    </row>
    <row r="27" spans="3:15"/>
    <row r="28" spans="3:15">
      <c r="C28" s="1585" t="s">
        <v>16</v>
      </c>
      <c r="D28" s="1518"/>
      <c r="E28" s="1518"/>
      <c r="F28" s="1518"/>
      <c r="G28" s="1518"/>
      <c r="H28" s="1518"/>
      <c r="I28" s="1518"/>
      <c r="J28" s="1518"/>
      <c r="K28" s="1518"/>
      <c r="L28" s="1518"/>
      <c r="M28" s="1518"/>
      <c r="N28" s="1518"/>
      <c r="O28" s="1518"/>
    </row>
    <row r="29" spans="3:15">
      <c r="C29" s="1585"/>
      <c r="D29" s="1518"/>
      <c r="E29" s="1518"/>
      <c r="F29" s="1518"/>
      <c r="G29" s="1518"/>
      <c r="H29" s="1518"/>
      <c r="I29" s="1518"/>
      <c r="J29" s="1518"/>
      <c r="K29" s="1518"/>
      <c r="L29" s="1518"/>
      <c r="M29" s="1518"/>
      <c r="N29" s="1518"/>
      <c r="O29" s="1518"/>
    </row>
    <row r="30" spans="3:15">
      <c r="C30" s="1518"/>
      <c r="D30" s="1518"/>
      <c r="E30" s="1518"/>
      <c r="F30" s="1518"/>
      <c r="G30" s="1518"/>
      <c r="H30" s="1518"/>
      <c r="I30" s="1518"/>
      <c r="J30" s="1518"/>
      <c r="K30" s="1518"/>
      <c r="L30" s="1518"/>
      <c r="M30" s="1518"/>
      <c r="N30" s="1518"/>
      <c r="O30" s="1518"/>
    </row>
    <row r="31" spans="3:15" ht="13" thickBot="1"/>
    <row r="32" spans="3:15" ht="13" thickTop="1">
      <c r="C32" s="857"/>
      <c r="D32" s="857" t="s">
        <v>1363</v>
      </c>
      <c r="E32" s="857" t="s">
        <v>1364</v>
      </c>
      <c r="F32" s="857" t="s">
        <v>1473</v>
      </c>
      <c r="G32" s="857" t="s">
        <v>1474</v>
      </c>
      <c r="H32" s="857" t="s">
        <v>1475</v>
      </c>
      <c r="I32" s="857" t="s">
        <v>1476</v>
      </c>
      <c r="J32" s="857" t="s">
        <v>497</v>
      </c>
      <c r="K32" s="857" t="s">
        <v>1511</v>
      </c>
      <c r="M32" s="1521" t="str">
        <f ca="1">OFFSET(ad_first,OFFSET(ads_top,ROW(ads_fn_COUNTIF)-1,2),0)</f>
        <v>Learn how to use iteration, goal-seeking, the solver and optimisation to solve problems that are too complex to solve in a single step.</v>
      </c>
      <c r="N32" s="1522"/>
      <c r="O32" s="1523"/>
    </row>
    <row r="33" spans="3:15" ht="13" thickBot="1">
      <c r="C33" s="857">
        <v>1</v>
      </c>
      <c r="D33" s="791"/>
      <c r="E33" s="791"/>
      <c r="F33" s="1089">
        <v>40087</v>
      </c>
      <c r="G33" s="1089">
        <v>40118</v>
      </c>
      <c r="H33" s="1089">
        <v>40148</v>
      </c>
      <c r="I33" s="1089">
        <v>40179</v>
      </c>
      <c r="J33" s="1089">
        <v>40210</v>
      </c>
      <c r="K33" s="1089">
        <v>40238</v>
      </c>
      <c r="M33" s="1524"/>
      <c r="N33" s="1525"/>
      <c r="O33" s="1526"/>
    </row>
    <row r="34" spans="3:15" ht="13" thickBot="1">
      <c r="C34" s="857">
        <v>2</v>
      </c>
      <c r="D34" s="791" t="s">
        <v>903</v>
      </c>
      <c r="E34" s="1018"/>
      <c r="F34" s="1090" t="s">
        <v>1363</v>
      </c>
      <c r="G34" s="1091" t="s">
        <v>1364</v>
      </c>
      <c r="H34" s="1091" t="s">
        <v>1473</v>
      </c>
      <c r="I34" s="1091" t="s">
        <v>1364</v>
      </c>
      <c r="J34" s="1091" t="s">
        <v>1474</v>
      </c>
      <c r="K34" s="1092" t="s">
        <v>1473</v>
      </c>
      <c r="M34" s="1524"/>
      <c r="N34" s="1525"/>
      <c r="O34" s="1526"/>
    </row>
    <row r="35" spans="3:15">
      <c r="C35" s="857">
        <v>3</v>
      </c>
      <c r="D35" s="791"/>
      <c r="E35" s="791"/>
      <c r="F35" s="963"/>
      <c r="G35" s="963"/>
      <c r="H35" s="963"/>
      <c r="I35" s="963"/>
      <c r="J35" s="963"/>
      <c r="K35" s="963"/>
      <c r="M35" s="1524"/>
      <c r="N35" s="1525"/>
      <c r="O35" s="1526"/>
    </row>
    <row r="36" spans="3:15" ht="13" thickBot="1">
      <c r="C36" s="857">
        <v>4</v>
      </c>
      <c r="D36" s="791" t="s">
        <v>908</v>
      </c>
      <c r="E36" s="791"/>
      <c r="F36" s="791"/>
      <c r="G36" s="791"/>
      <c r="H36" s="857">
        <f>COUNTIF(F34:K34,"&gt;=B")</f>
        <v>5</v>
      </c>
      <c r="I36" s="900" t="s">
        <v>905</v>
      </c>
      <c r="J36" s="791"/>
      <c r="K36" s="791"/>
      <c r="M36" s="1527"/>
      <c r="N36" s="1528"/>
      <c r="O36" s="1529"/>
    </row>
    <row r="37" spans="3:15" ht="13" thickTop="1">
      <c r="C37" s="857">
        <v>5</v>
      </c>
      <c r="D37" s="791"/>
      <c r="E37" s="791"/>
      <c r="F37" s="791"/>
      <c r="G37" s="791"/>
      <c r="H37" s="791"/>
      <c r="I37" s="791"/>
      <c r="J37" s="791"/>
      <c r="K37" s="791"/>
      <c r="M37" s="1310"/>
      <c r="N37" s="1311"/>
      <c r="O37" s="1311"/>
    </row>
    <row r="38" spans="3:15"/>
    <row r="39" spans="3:15">
      <c r="C39" s="1585" t="s">
        <v>17</v>
      </c>
      <c r="D39" s="1518"/>
      <c r="E39" s="1518"/>
      <c r="F39" s="1518"/>
      <c r="G39" s="1518"/>
      <c r="H39" s="1518"/>
      <c r="I39" s="1518"/>
      <c r="J39" s="1518"/>
      <c r="K39" s="1518"/>
      <c r="L39" s="1518"/>
      <c r="M39" s="1518"/>
      <c r="N39" s="1518"/>
      <c r="O39" s="1518"/>
    </row>
    <row r="40" spans="3:15">
      <c r="C40" s="1585"/>
      <c r="D40" s="1518"/>
      <c r="E40" s="1518"/>
      <c r="F40" s="1518"/>
      <c r="G40" s="1518"/>
      <c r="H40" s="1518"/>
      <c r="I40" s="1518"/>
      <c r="J40" s="1518"/>
      <c r="K40" s="1518"/>
      <c r="L40" s="1518"/>
      <c r="M40" s="1518"/>
      <c r="N40" s="1518"/>
      <c r="O40" s="1518"/>
    </row>
    <row r="41" spans="3:15">
      <c r="C41" s="1518"/>
      <c r="D41" s="1518"/>
      <c r="E41" s="1518"/>
      <c r="F41" s="1518"/>
      <c r="G41" s="1518"/>
      <c r="H41" s="1518"/>
      <c r="I41" s="1518"/>
      <c r="J41" s="1518"/>
      <c r="K41" s="1518"/>
      <c r="L41" s="1518"/>
      <c r="M41" s="1518"/>
      <c r="N41" s="1518"/>
      <c r="O41" s="1518"/>
    </row>
    <row r="42" spans="3:15">
      <c r="L42" s="33"/>
    </row>
    <row r="43" spans="3:15" ht="12.75" customHeight="1">
      <c r="C43" s="857"/>
      <c r="D43" s="857" t="s">
        <v>1363</v>
      </c>
      <c r="E43" s="857" t="s">
        <v>1364</v>
      </c>
      <c r="F43" s="857" t="s">
        <v>1473</v>
      </c>
      <c r="G43" s="857" t="s">
        <v>1474</v>
      </c>
      <c r="H43" s="857" t="s">
        <v>1475</v>
      </c>
      <c r="I43" s="857" t="s">
        <v>1476</v>
      </c>
      <c r="J43" s="857" t="s">
        <v>497</v>
      </c>
      <c r="K43" s="857" t="s">
        <v>1511</v>
      </c>
      <c r="L43" s="74"/>
      <c r="M43" s="1171"/>
      <c r="N43" s="1171"/>
      <c r="O43" s="1171"/>
    </row>
    <row r="44" spans="3:15" ht="13.5" thickBot="1">
      <c r="C44" s="857">
        <v>1</v>
      </c>
      <c r="D44" s="791"/>
      <c r="E44" s="791"/>
      <c r="F44" s="1089">
        <v>40087</v>
      </c>
      <c r="G44" s="1089">
        <v>40118</v>
      </c>
      <c r="H44" s="1089">
        <v>40148</v>
      </c>
      <c r="I44" s="1089">
        <v>40179</v>
      </c>
      <c r="J44" s="1089">
        <v>40210</v>
      </c>
      <c r="K44" s="1089">
        <v>40238</v>
      </c>
      <c r="L44" s="33"/>
      <c r="M44" s="1171"/>
      <c r="N44" s="1171"/>
      <c r="O44" s="1171"/>
    </row>
    <row r="45" spans="3:15" ht="13.5" thickBot="1">
      <c r="C45" s="857">
        <v>2</v>
      </c>
      <c r="D45" s="791" t="s">
        <v>903</v>
      </c>
      <c r="E45" s="1018"/>
      <c r="F45" s="1090" t="s">
        <v>1363</v>
      </c>
      <c r="G45" s="1091" t="s">
        <v>1364</v>
      </c>
      <c r="H45" s="1091" t="s">
        <v>1473</v>
      </c>
      <c r="I45" s="1091" t="s">
        <v>1364</v>
      </c>
      <c r="J45" s="1091" t="s">
        <v>1474</v>
      </c>
      <c r="K45" s="1092" t="s">
        <v>1473</v>
      </c>
      <c r="L45" s="33"/>
      <c r="M45" s="1171"/>
      <c r="N45" s="1171"/>
      <c r="O45" s="1171"/>
    </row>
    <row r="46" spans="3:15" ht="13.5" thickBot="1">
      <c r="C46" s="857">
        <v>3</v>
      </c>
      <c r="D46" s="791"/>
      <c r="E46" s="791"/>
      <c r="F46" s="963"/>
      <c r="G46" s="957"/>
      <c r="H46" s="963"/>
      <c r="I46" s="963"/>
      <c r="J46" s="963"/>
      <c r="K46" s="963"/>
      <c r="L46" s="33"/>
      <c r="M46" s="1171"/>
      <c r="N46" s="1171"/>
      <c r="O46" s="1171"/>
    </row>
    <row r="47" spans="3:15" ht="13.5" thickBot="1">
      <c r="C47" s="857">
        <v>4</v>
      </c>
      <c r="D47" s="791" t="s">
        <v>906</v>
      </c>
      <c r="E47" s="900"/>
      <c r="F47" s="1018"/>
      <c r="G47" s="1016" t="s">
        <v>1363</v>
      </c>
      <c r="H47" s="809"/>
      <c r="I47" s="791"/>
      <c r="J47" s="791"/>
      <c r="K47" s="791"/>
      <c r="L47" s="33"/>
      <c r="M47" s="1171"/>
      <c r="N47" s="1171"/>
      <c r="O47" s="1171"/>
    </row>
    <row r="48" spans="3:15">
      <c r="C48" s="857">
        <v>5</v>
      </c>
      <c r="D48" s="791"/>
      <c r="E48" s="791"/>
      <c r="F48" s="791"/>
      <c r="G48" s="963"/>
      <c r="H48" s="791"/>
      <c r="I48" s="791"/>
      <c r="J48" s="791"/>
      <c r="K48" s="791"/>
      <c r="L48" s="33"/>
    </row>
    <row r="49" spans="3:15">
      <c r="C49" s="857">
        <v>6</v>
      </c>
      <c r="D49" s="791" t="s">
        <v>910</v>
      </c>
      <c r="E49" s="791"/>
      <c r="F49" s="791"/>
      <c r="G49" s="791"/>
      <c r="H49" s="857">
        <f>COUNTIF(F45:K45,G47)</f>
        <v>1</v>
      </c>
      <c r="I49" s="900" t="s">
        <v>909</v>
      </c>
      <c r="J49" s="791"/>
      <c r="K49" s="791"/>
      <c r="L49" s="33"/>
    </row>
    <row r="50" spans="3:15">
      <c r="C50" s="857">
        <v>7</v>
      </c>
      <c r="D50" s="791"/>
      <c r="E50" s="791"/>
      <c r="F50" s="791"/>
      <c r="G50" s="791"/>
      <c r="H50" s="791"/>
      <c r="I50" s="791"/>
      <c r="J50" s="791"/>
      <c r="K50" s="791"/>
      <c r="L50" s="33"/>
    </row>
    <row r="51" spans="3:15">
      <c r="L51" s="33"/>
    </row>
    <row r="52" spans="3:15">
      <c r="C52" s="1585" t="s">
        <v>968</v>
      </c>
      <c r="D52" s="1518"/>
      <c r="E52" s="1518"/>
      <c r="F52" s="1518"/>
      <c r="G52" s="1518"/>
      <c r="H52" s="1518"/>
      <c r="I52" s="1518"/>
      <c r="J52" s="1518"/>
      <c r="K52" s="1518"/>
      <c r="L52" s="1518"/>
      <c r="M52" s="1518"/>
      <c r="N52" s="1518"/>
      <c r="O52" s="1518"/>
    </row>
    <row r="53" spans="3:15">
      <c r="C53" s="1518"/>
      <c r="D53" s="1518"/>
      <c r="E53" s="1518"/>
      <c r="F53" s="1518"/>
      <c r="G53" s="1518"/>
      <c r="H53" s="1518"/>
      <c r="I53" s="1518"/>
      <c r="J53" s="1518"/>
      <c r="K53" s="1518"/>
      <c r="L53" s="1518"/>
      <c r="M53" s="1518"/>
      <c r="N53" s="1518"/>
      <c r="O53" s="1518"/>
    </row>
    <row r="54" spans="3:15">
      <c r="C54" s="1518"/>
      <c r="D54" s="1518"/>
      <c r="E54" s="1518"/>
      <c r="F54" s="1518"/>
      <c r="G54" s="1518"/>
      <c r="H54" s="1518"/>
      <c r="I54" s="1518"/>
      <c r="J54" s="1518"/>
      <c r="K54" s="1518"/>
      <c r="L54" s="1518"/>
      <c r="M54" s="1518"/>
      <c r="N54" s="1518"/>
      <c r="O54" s="1518"/>
    </row>
    <row r="55" spans="3:15"/>
    <row r="56" spans="3:15">
      <c r="C56" s="857"/>
      <c r="D56" s="857" t="s">
        <v>1363</v>
      </c>
      <c r="E56" s="857" t="s">
        <v>1364</v>
      </c>
      <c r="F56" s="857" t="s">
        <v>1473</v>
      </c>
      <c r="G56" s="857" t="s">
        <v>1474</v>
      </c>
      <c r="H56" s="857" t="s">
        <v>1475</v>
      </c>
      <c r="I56" s="857" t="s">
        <v>1476</v>
      </c>
      <c r="J56" s="857" t="s">
        <v>497</v>
      </c>
      <c r="K56" s="857" t="s">
        <v>1511</v>
      </c>
      <c r="M56" s="1706"/>
      <c r="N56" s="1706"/>
      <c r="O56" s="1706"/>
    </row>
    <row r="57" spans="3:15" ht="13" thickBot="1">
      <c r="C57" s="857">
        <v>1</v>
      </c>
      <c r="D57" s="791"/>
      <c r="E57" s="791"/>
      <c r="F57" s="1089">
        <v>40087</v>
      </c>
      <c r="G57" s="1089">
        <v>40118</v>
      </c>
      <c r="H57" s="1089">
        <v>40148</v>
      </c>
      <c r="I57" s="1089">
        <v>40179</v>
      </c>
      <c r="J57" s="1089">
        <v>40210</v>
      </c>
      <c r="K57" s="1089">
        <v>40238</v>
      </c>
      <c r="M57" s="1706"/>
      <c r="N57" s="1706"/>
      <c r="O57" s="1706"/>
    </row>
    <row r="58" spans="3:15" ht="13" thickBot="1">
      <c r="C58" s="857">
        <v>2</v>
      </c>
      <c r="D58" s="791" t="s">
        <v>903</v>
      </c>
      <c r="E58" s="1018"/>
      <c r="F58" s="1090" t="s">
        <v>1363</v>
      </c>
      <c r="G58" s="1091" t="s">
        <v>1364</v>
      </c>
      <c r="H58" s="1091" t="s">
        <v>1473</v>
      </c>
      <c r="I58" s="1091" t="s">
        <v>1364</v>
      </c>
      <c r="J58" s="1091" t="s">
        <v>1474</v>
      </c>
      <c r="K58" s="1092" t="s">
        <v>1473</v>
      </c>
      <c r="M58" s="1706"/>
      <c r="N58" s="1706"/>
      <c r="O58" s="1706"/>
    </row>
    <row r="59" spans="3:15" ht="13" thickBot="1">
      <c r="C59" s="857">
        <v>3</v>
      </c>
      <c r="D59" s="791"/>
      <c r="E59" s="791"/>
      <c r="F59" s="963"/>
      <c r="G59" s="957"/>
      <c r="H59" s="963"/>
      <c r="I59" s="963"/>
      <c r="J59" s="963"/>
      <c r="K59" s="963"/>
      <c r="M59" s="1706"/>
      <c r="N59" s="1706"/>
      <c r="O59" s="1706"/>
    </row>
    <row r="60" spans="3:15" ht="13" thickBot="1">
      <c r="C60" s="857">
        <v>4</v>
      </c>
      <c r="D60" s="791" t="s">
        <v>906</v>
      </c>
      <c r="E60" s="900"/>
      <c r="F60" s="1018"/>
      <c r="G60" s="1213" t="s">
        <v>1473</v>
      </c>
      <c r="H60" s="809"/>
      <c r="I60" s="791"/>
      <c r="J60" s="791"/>
      <c r="K60" s="791"/>
      <c r="M60" s="1706"/>
      <c r="N60" s="1706"/>
      <c r="O60" s="1706"/>
    </row>
    <row r="61" spans="3:15">
      <c r="C61" s="857">
        <v>5</v>
      </c>
      <c r="D61" s="791"/>
      <c r="E61" s="791"/>
      <c r="F61" s="791"/>
      <c r="G61" s="963"/>
      <c r="H61" s="791"/>
      <c r="I61" s="791"/>
      <c r="J61" s="791"/>
      <c r="K61" s="791"/>
      <c r="M61" s="1707"/>
      <c r="N61" s="1708"/>
      <c r="O61" s="1708"/>
    </row>
    <row r="62" spans="3:15">
      <c r="C62" s="857">
        <v>6</v>
      </c>
      <c r="D62" s="1704" t="s">
        <v>911</v>
      </c>
      <c r="E62" s="1704"/>
      <c r="F62" s="1704"/>
      <c r="G62" s="857">
        <f>COUNTIF(F58:K58,"&gt;="&amp;G60)</f>
        <v>3</v>
      </c>
      <c r="H62" s="900" t="s">
        <v>894</v>
      </c>
      <c r="I62" s="791"/>
      <c r="J62" s="791"/>
      <c r="K62" s="791"/>
    </row>
    <row r="63" spans="3:15">
      <c r="C63" s="857">
        <v>7</v>
      </c>
      <c r="D63" s="1704"/>
      <c r="E63" s="1704"/>
      <c r="F63" s="1704"/>
      <c r="G63" s="791"/>
      <c r="H63" s="791"/>
      <c r="I63" s="791"/>
      <c r="J63" s="791"/>
      <c r="K63" s="791"/>
    </row>
    <row r="64" spans="3:15"/>
    <row r="65" spans="3:15">
      <c r="C65" s="1585" t="s">
        <v>228</v>
      </c>
      <c r="D65" s="1518"/>
      <c r="E65" s="1518"/>
      <c r="F65" s="1518"/>
      <c r="G65" s="1518"/>
      <c r="H65" s="1518"/>
      <c r="I65" s="1518"/>
      <c r="J65" s="1518"/>
      <c r="K65" s="1518"/>
      <c r="L65" s="1518"/>
      <c r="M65" s="1518"/>
      <c r="N65" s="1518"/>
      <c r="O65" s="1518"/>
    </row>
    <row r="66" spans="3:15">
      <c r="C66" s="1585"/>
      <c r="D66" s="1518"/>
      <c r="E66" s="1518"/>
      <c r="F66" s="1518"/>
      <c r="G66" s="1518"/>
      <c r="H66" s="1518"/>
      <c r="I66" s="1518"/>
      <c r="J66" s="1518"/>
      <c r="K66" s="1518"/>
      <c r="L66" s="1518"/>
      <c r="M66" s="1518"/>
      <c r="N66" s="1518"/>
      <c r="O66" s="1518"/>
    </row>
    <row r="67" spans="3:15">
      <c r="C67" s="1518"/>
      <c r="D67" s="1518"/>
      <c r="E67" s="1518"/>
      <c r="F67" s="1518"/>
      <c r="G67" s="1518"/>
      <c r="H67" s="1518"/>
      <c r="I67" s="1518"/>
      <c r="J67" s="1518"/>
      <c r="K67" s="1518"/>
      <c r="L67" s="1518"/>
      <c r="M67" s="1518"/>
      <c r="N67" s="1518"/>
      <c r="O67" s="1518"/>
    </row>
    <row r="68" spans="3:15" ht="13" thickBot="1"/>
    <row r="69" spans="3:15" ht="13" thickTop="1">
      <c r="C69" s="857"/>
      <c r="D69" s="857" t="s">
        <v>1363</v>
      </c>
      <c r="E69" s="857" t="s">
        <v>1364</v>
      </c>
      <c r="F69" s="857" t="s">
        <v>1473</v>
      </c>
      <c r="G69" s="857" t="s">
        <v>1474</v>
      </c>
      <c r="H69" s="857" t="s">
        <v>1475</v>
      </c>
      <c r="I69" s="857" t="s">
        <v>1476</v>
      </c>
      <c r="J69" s="857" t="s">
        <v>497</v>
      </c>
      <c r="K69" s="857" t="s">
        <v>1511</v>
      </c>
      <c r="M69" s="1521" t="str">
        <f ca="1">OFFSET(ad_first,OFFSET(ads_top,ROW(ads_fn_COUNTIF)-1,3),0)</f>
        <v>We specialise in presenting one and two day finance / technical workshops</v>
      </c>
      <c r="N69" s="1522"/>
      <c r="O69" s="1523"/>
    </row>
    <row r="70" spans="3:15" ht="13" thickBot="1">
      <c r="C70" s="857">
        <v>1</v>
      </c>
      <c r="D70" s="791"/>
      <c r="E70" s="791"/>
      <c r="F70" s="1089">
        <v>40087</v>
      </c>
      <c r="G70" s="1089">
        <v>40118</v>
      </c>
      <c r="H70" s="1089">
        <v>40148</v>
      </c>
      <c r="I70" s="1089">
        <v>40179</v>
      </c>
      <c r="J70" s="1089">
        <v>40210</v>
      </c>
      <c r="K70" s="1089">
        <v>40238</v>
      </c>
      <c r="M70" s="1524"/>
      <c r="N70" s="1525"/>
      <c r="O70" s="1526"/>
    </row>
    <row r="71" spans="3:15" ht="13" thickBot="1">
      <c r="C71" s="857">
        <v>2</v>
      </c>
      <c r="D71" s="791" t="s">
        <v>903</v>
      </c>
      <c r="E71" s="1018"/>
      <c r="F71" s="1090" t="s">
        <v>1363</v>
      </c>
      <c r="G71" s="1091" t="s">
        <v>1364</v>
      </c>
      <c r="H71" s="1091" t="s">
        <v>1473</v>
      </c>
      <c r="I71" s="1091" t="s">
        <v>1364</v>
      </c>
      <c r="J71" s="1091" t="s">
        <v>1474</v>
      </c>
      <c r="K71" s="1092" t="s">
        <v>1473</v>
      </c>
      <c r="M71" s="1524"/>
      <c r="N71" s="1525"/>
      <c r="O71" s="1526"/>
    </row>
    <row r="72" spans="3:15" ht="13" thickBot="1">
      <c r="C72" s="857">
        <v>3</v>
      </c>
      <c r="D72" s="791"/>
      <c r="E72" s="791"/>
      <c r="F72" s="963"/>
      <c r="G72" s="957"/>
      <c r="H72" s="963"/>
      <c r="I72" s="963"/>
      <c r="J72" s="963"/>
      <c r="K72" s="963"/>
      <c r="M72" s="1524"/>
      <c r="N72" s="1525"/>
      <c r="O72" s="1526"/>
    </row>
    <row r="73" spans="3:15" ht="13" thickBot="1">
      <c r="C73" s="857">
        <f>C72+1</f>
        <v>4</v>
      </c>
      <c r="D73" s="791" t="s">
        <v>906</v>
      </c>
      <c r="E73" s="900"/>
      <c r="F73" s="1018"/>
      <c r="G73" s="1440" t="s">
        <v>1364</v>
      </c>
      <c r="H73" s="809"/>
      <c r="I73" s="791"/>
      <c r="J73" s="791"/>
      <c r="K73" s="791"/>
      <c r="M73" s="1527"/>
      <c r="N73" s="1528"/>
      <c r="O73" s="1529"/>
    </row>
    <row r="74" spans="3:15">
      <c r="C74" s="857">
        <f t="shared" ref="C74:C82" si="0">C73+1</f>
        <v>5</v>
      </c>
      <c r="D74" s="791"/>
      <c r="E74" s="791"/>
      <c r="F74" s="791"/>
      <c r="G74" s="963"/>
      <c r="H74" s="791"/>
      <c r="I74" s="791"/>
      <c r="J74" s="791"/>
      <c r="K74" s="791"/>
      <c r="M74" s="1310"/>
      <c r="N74" s="1311"/>
      <c r="O74" s="1311"/>
    </row>
    <row r="75" spans="3:15">
      <c r="C75" s="857">
        <f t="shared" si="0"/>
        <v>6</v>
      </c>
      <c r="D75" s="1704" t="s">
        <v>969</v>
      </c>
      <c r="E75" s="1704"/>
      <c r="F75" s="1704"/>
      <c r="G75" s="1127">
        <f>COUNTIF(F71:K71,G73)</f>
        <v>2</v>
      </c>
      <c r="H75" s="900" t="s">
        <v>909</v>
      </c>
      <c r="I75" s="791"/>
      <c r="J75" s="791"/>
      <c r="K75" s="791"/>
    </row>
    <row r="76" spans="3:15">
      <c r="C76" s="857">
        <f t="shared" si="0"/>
        <v>7</v>
      </c>
      <c r="D76" s="1704"/>
      <c r="E76" s="1704"/>
      <c r="F76" s="1704"/>
      <c r="G76" s="791"/>
      <c r="H76" s="791"/>
      <c r="I76" s="791"/>
      <c r="J76" s="791"/>
      <c r="K76" s="791"/>
    </row>
    <row r="77" spans="3:15">
      <c r="C77" s="857">
        <f t="shared" si="0"/>
        <v>8</v>
      </c>
      <c r="D77" s="791"/>
      <c r="E77" s="791"/>
      <c r="F77" s="791"/>
      <c r="G77" s="791"/>
      <c r="H77" s="791"/>
      <c r="I77" s="791"/>
      <c r="J77" s="791"/>
      <c r="K77" s="791"/>
    </row>
    <row r="78" spans="3:15">
      <c r="C78" s="857">
        <f t="shared" si="0"/>
        <v>9</v>
      </c>
      <c r="D78" s="1704" t="s">
        <v>970</v>
      </c>
      <c r="E78" s="1704"/>
      <c r="F78" s="1704"/>
      <c r="G78" s="1127">
        <f>COUNTIF(F71:K71,"&gt;="&amp;G73)</f>
        <v>5</v>
      </c>
      <c r="H78" s="900" t="s">
        <v>894</v>
      </c>
      <c r="I78" s="791"/>
      <c r="J78" s="791"/>
      <c r="K78" s="791"/>
    </row>
    <row r="79" spans="3:15">
      <c r="C79" s="857">
        <f t="shared" si="0"/>
        <v>10</v>
      </c>
      <c r="D79" s="1704"/>
      <c r="E79" s="1704"/>
      <c r="F79" s="1704"/>
      <c r="G79" s="791"/>
      <c r="H79" s="791"/>
      <c r="I79" s="791"/>
      <c r="J79" s="791"/>
      <c r="K79" s="791"/>
    </row>
    <row r="80" spans="3:15">
      <c r="C80" s="857">
        <f t="shared" si="0"/>
        <v>11</v>
      </c>
      <c r="D80" s="791"/>
      <c r="E80" s="791"/>
      <c r="F80" s="791"/>
      <c r="G80" s="791"/>
      <c r="H80" s="791"/>
      <c r="I80" s="791"/>
      <c r="J80" s="791"/>
      <c r="K80" s="791"/>
    </row>
    <row r="81" spans="3:15">
      <c r="C81" s="857">
        <f t="shared" si="0"/>
        <v>12</v>
      </c>
      <c r="D81" s="1704" t="s">
        <v>971</v>
      </c>
      <c r="E81" s="1704"/>
      <c r="F81" s="1704"/>
      <c r="G81" s="1127">
        <f>COUNTIF(F71:K71,"&lt;="&amp;G73)</f>
        <v>3</v>
      </c>
      <c r="H81" s="900" t="s">
        <v>1412</v>
      </c>
      <c r="I81" s="791"/>
      <c r="J81" s="791"/>
      <c r="K81" s="791"/>
    </row>
    <row r="82" spans="3:15">
      <c r="C82" s="857">
        <f t="shared" si="0"/>
        <v>13</v>
      </c>
      <c r="D82" s="1704"/>
      <c r="E82" s="1704"/>
      <c r="F82" s="1704"/>
      <c r="G82" s="791"/>
      <c r="H82" s="791"/>
      <c r="I82" s="791"/>
      <c r="J82" s="791"/>
      <c r="K82" s="791"/>
    </row>
    <row r="83" spans="3:15"/>
    <row r="84" spans="3:15" ht="13">
      <c r="C84" s="772" t="s">
        <v>753</v>
      </c>
    </row>
    <row r="85" spans="3:15"/>
    <row r="86" spans="3:15">
      <c r="C86" s="1700" t="s">
        <v>972</v>
      </c>
      <c r="D86" s="1700"/>
      <c r="E86" s="1700"/>
      <c r="F86" s="1700"/>
      <c r="G86" s="1700"/>
      <c r="H86" s="1700"/>
      <c r="L86" s="140"/>
    </row>
    <row r="87" spans="3:15"/>
    <row r="88" spans="3:15">
      <c r="C88" s="1697" t="str">
        <f>back_to_index</f>
        <v>Back to contents</v>
      </c>
      <c r="D88" s="1697"/>
      <c r="G88" s="1530" t="str">
        <f>page_prefix &amp; page_fn_COUNTIF&amp; page_suffix</f>
        <v>- Page 26 -</v>
      </c>
      <c r="H88" s="1530"/>
      <c r="I88" s="1530"/>
      <c r="J88" s="1530"/>
      <c r="K88" s="1530"/>
      <c r="N88" s="1640" t="str">
        <f>back_to_top</f>
        <v>Back to top</v>
      </c>
      <c r="O88" s="1640"/>
    </row>
    <row r="89" spans="3:15">
      <c r="G89" s="1530" t="str">
        <f>copyright</f>
        <v>Copyright (c) 2009 Tykoh Group Pty Limited</v>
      </c>
      <c r="H89" s="1530"/>
      <c r="I89" s="1530"/>
      <c r="J89" s="1530"/>
      <c r="K89" s="1530"/>
    </row>
    <row r="90" spans="3:15">
      <c r="G90" s="1452" t="str">
        <f>home_address</f>
        <v>www.tykoh.com</v>
      </c>
      <c r="H90" s="1452"/>
      <c r="I90" s="1452"/>
      <c r="J90" s="1452"/>
      <c r="K90" s="1452"/>
    </row>
    <row r="91" spans="3:15"/>
  </sheetData>
  <sheetProtection algorithmName="SHA-512" hashValue="hFyF7alJTLgjm2mxCnmumsv8RXMO2L4EFVeympi1jLbu37F7VHaRVacG2qVfKzV36jhD7bDUM+cCux0baK4ATg==" saltValue="wR802IHdC7Nghud6rJvvLw==" spinCount="100000" sheet="1" objects="1" scenarios="1"/>
  <mergeCells count="22">
    <mergeCell ref="M32:O36"/>
    <mergeCell ref="C5:L8"/>
    <mergeCell ref="M69:O73"/>
    <mergeCell ref="C13:O15"/>
    <mergeCell ref="M56:O60"/>
    <mergeCell ref="M61:O61"/>
    <mergeCell ref="C10:L10"/>
    <mergeCell ref="C28:O30"/>
    <mergeCell ref="C39:O41"/>
    <mergeCell ref="M4:O8"/>
    <mergeCell ref="D75:F76"/>
    <mergeCell ref="C52:O54"/>
    <mergeCell ref="N88:O88"/>
    <mergeCell ref="D62:F63"/>
    <mergeCell ref="C65:O67"/>
    <mergeCell ref="D81:F82"/>
    <mergeCell ref="D78:F79"/>
    <mergeCell ref="C86:H86"/>
    <mergeCell ref="G90:K90"/>
    <mergeCell ref="C88:D88"/>
    <mergeCell ref="G88:K88"/>
    <mergeCell ref="G89:K89"/>
  </mergeCells>
  <phoneticPr fontId="2" type="noConversion"/>
  <dataValidations count="1">
    <dataValidation type="list" allowBlank="1" showInputMessage="1" showErrorMessage="1" sqref="G73" xr:uid="{00000000-0002-0000-2600-000000000000}">
      <formula1>"A,B,C,D"</formula1>
    </dataValidation>
  </dataValidations>
  <hyperlinks>
    <hyperlink ref="C86:H86" location="hh_Ex_3" display="To apply the COUNTIF function to solving a problem click here." xr:uid="{00000000-0004-0000-2600-000000000000}"/>
    <hyperlink ref="N88:O88" location="hh_fn_COUNTIF" display="hh_fn_COUNTIF" xr:uid="{00000000-0004-0000-2600-000001000000}"/>
    <hyperlink ref="C88:D88" location="hh_index" display="hh_index" xr:uid="{00000000-0004-0000-2600-000002000000}"/>
    <hyperlink ref="G90:K90" r:id="rId1" display="https://www.tykoh.com/" xr:uid="{00000000-0004-0000-2600-000003000000}"/>
  </hyperlinks>
  <pageMargins left="0.75" right="0.75" top="1" bottom="1" header="0.5" footer="0.5"/>
  <pageSetup scale="74" fitToHeight="2" orientation="portrait" r:id="rId2"/>
  <headerFooter alignWithMargins="0"/>
  <rowBreaks count="1" manualBreakCount="1">
    <brk id="51" max="15" man="1"/>
  </row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47"/>
  <sheetViews>
    <sheetView showGridLines="0" showRowColHeaders="0" workbookViewId="0"/>
  </sheetViews>
  <sheetFormatPr defaultColWidth="0" defaultRowHeight="12.5" zeroHeight="1"/>
  <cols>
    <col min="1" max="2" width="1" style="32" customWidth="1"/>
    <col min="3" max="3" width="3.453125" style="32" customWidth="1"/>
    <col min="4" max="5" width="8.54296875" style="32" customWidth="1"/>
    <col min="6" max="6" width="2.81640625" style="32" customWidth="1"/>
    <col min="7" max="7" width="2.54296875" style="63" customWidth="1"/>
    <col min="8" max="8" width="9.1796875" style="32" customWidth="1"/>
    <col min="9" max="9" width="9.7265625" style="73" customWidth="1"/>
    <col min="10" max="10" width="15.7265625" style="73" customWidth="1"/>
    <col min="11" max="16" width="9.7265625" style="32" customWidth="1"/>
    <col min="17" max="17" width="1.81640625" style="32" customWidth="1"/>
    <col min="18" max="16384" width="9.1796875" style="32" hidden="1"/>
  </cols>
  <sheetData>
    <row r="1" spans="2:18"/>
    <row r="2" spans="2:18">
      <c r="C2" s="103"/>
      <c r="D2" s="103"/>
      <c r="E2" s="103"/>
      <c r="F2" s="103"/>
      <c r="G2" s="104"/>
      <c r="H2" s="103"/>
      <c r="I2" s="1494"/>
      <c r="J2" s="1494"/>
      <c r="K2" s="1494"/>
      <c r="L2" s="1494"/>
      <c r="M2" s="103"/>
      <c r="N2" s="103"/>
      <c r="O2" s="103"/>
      <c r="P2" s="103"/>
    </row>
    <row r="3" spans="2:18" ht="16" thickBot="1">
      <c r="C3" s="416" t="s">
        <v>1384</v>
      </c>
    </row>
    <row r="4" spans="2:18" ht="13" thickTop="1">
      <c r="N4" s="1521" t="str">
        <f ca="1">OFFSET(ad_first,OFFSET(ads_top,ROW(ads_averaging)-1,1),0)</f>
        <v>Our workshops review the finance principles and assumptions underlying the main spreadsheet financial functions.</v>
      </c>
      <c r="O4" s="1522"/>
      <c r="P4" s="1523"/>
    </row>
    <row r="5" spans="2:18">
      <c r="C5" s="1519" t="s">
        <v>1296</v>
      </c>
      <c r="D5" s="1516"/>
      <c r="E5" s="1516"/>
      <c r="F5" s="1516"/>
      <c r="G5" s="1516"/>
      <c r="H5" s="1516"/>
      <c r="I5" s="1516"/>
      <c r="J5" s="1516"/>
      <c r="K5" s="1516"/>
      <c r="L5" s="1516"/>
      <c r="M5" s="1316"/>
      <c r="N5" s="1524"/>
      <c r="O5" s="1525"/>
      <c r="P5" s="1526"/>
      <c r="Q5" s="1314"/>
      <c r="R5" s="1314"/>
    </row>
    <row r="6" spans="2:18">
      <c r="C6" s="1516"/>
      <c r="D6" s="1516"/>
      <c r="E6" s="1516"/>
      <c r="F6" s="1516"/>
      <c r="G6" s="1516"/>
      <c r="H6" s="1516"/>
      <c r="I6" s="1516"/>
      <c r="J6" s="1516"/>
      <c r="K6" s="1516"/>
      <c r="L6" s="1516"/>
      <c r="M6" s="1317"/>
      <c r="N6" s="1524"/>
      <c r="O6" s="1525"/>
      <c r="P6" s="1526"/>
      <c r="Q6" s="1314"/>
      <c r="R6" s="1314"/>
    </row>
    <row r="7" spans="2:18">
      <c r="C7" s="1516"/>
      <c r="D7" s="1516"/>
      <c r="E7" s="1516"/>
      <c r="F7" s="1516"/>
      <c r="G7" s="1516"/>
      <c r="H7" s="1516"/>
      <c r="I7" s="1516"/>
      <c r="J7" s="1516"/>
      <c r="K7" s="1516"/>
      <c r="L7" s="1516"/>
      <c r="M7" s="1317"/>
      <c r="N7" s="1524"/>
      <c r="O7" s="1525"/>
      <c r="P7" s="1526"/>
      <c r="Q7" s="1314"/>
      <c r="R7" s="1314"/>
    </row>
    <row r="8" spans="2:18" ht="13" thickBot="1">
      <c r="C8" s="1516"/>
      <c r="D8" s="1516"/>
      <c r="E8" s="1516"/>
      <c r="F8" s="1516"/>
      <c r="G8" s="1516"/>
      <c r="H8" s="1516"/>
      <c r="I8" s="1516"/>
      <c r="J8" s="1516"/>
      <c r="K8" s="1516"/>
      <c r="L8" s="1516"/>
      <c r="M8" s="1317"/>
      <c r="N8" s="1527"/>
      <c r="O8" s="1528"/>
      <c r="P8" s="1529"/>
      <c r="Q8" s="1314"/>
      <c r="R8" s="1314"/>
    </row>
    <row r="9" spans="2:18" ht="13" thickTop="1">
      <c r="C9" s="1317"/>
      <c r="D9" s="1317"/>
      <c r="E9" s="1317"/>
      <c r="F9" s="1317"/>
      <c r="G9" s="1317"/>
      <c r="H9" s="1317"/>
      <c r="I9" s="1317"/>
      <c r="J9" s="1317"/>
      <c r="K9" s="1317"/>
      <c r="L9" s="1317"/>
      <c r="M9" s="1317"/>
      <c r="N9" s="1314"/>
      <c r="O9" s="1314"/>
      <c r="P9" s="1314"/>
      <c r="Q9" s="1314"/>
      <c r="R9" s="1314"/>
    </row>
    <row r="10" spans="2:18">
      <c r="B10" s="75"/>
      <c r="C10" s="1520" t="s">
        <v>1295</v>
      </c>
      <c r="D10" s="1516"/>
      <c r="E10" s="1516"/>
      <c r="F10" s="1516"/>
      <c r="G10" s="1516"/>
      <c r="H10" s="1516"/>
      <c r="I10" s="1516"/>
      <c r="J10" s="1516"/>
      <c r="K10" s="1516"/>
      <c r="L10" s="1516"/>
      <c r="M10" s="1516"/>
      <c r="N10" s="1516"/>
      <c r="O10" s="1516"/>
      <c r="P10" s="1516"/>
      <c r="Q10" s="1314"/>
      <c r="R10" s="1314"/>
    </row>
    <row r="11" spans="2:18">
      <c r="B11" s="777"/>
      <c r="C11" s="1516"/>
      <c r="D11" s="1516"/>
      <c r="E11" s="1516"/>
      <c r="F11" s="1516"/>
      <c r="G11" s="1516"/>
      <c r="H11" s="1516"/>
      <c r="I11" s="1516"/>
      <c r="J11" s="1516"/>
      <c r="K11" s="1516"/>
      <c r="L11" s="1516"/>
      <c r="M11" s="1516"/>
      <c r="N11" s="1516"/>
      <c r="O11" s="1516"/>
      <c r="P11" s="1516"/>
      <c r="Q11" s="1314"/>
      <c r="R11" s="1314"/>
    </row>
    <row r="12" spans="2:18">
      <c r="C12" s="1317"/>
      <c r="D12" s="1317"/>
      <c r="E12" s="1317"/>
      <c r="F12" s="1317"/>
      <c r="G12" s="1317"/>
      <c r="H12" s="1317"/>
      <c r="I12" s="1317"/>
      <c r="J12" s="1317"/>
      <c r="K12" s="1317"/>
      <c r="L12" s="1317"/>
      <c r="M12" s="1317"/>
      <c r="N12" s="1314"/>
      <c r="O12" s="1314"/>
      <c r="P12" s="1314"/>
      <c r="Q12" s="1314"/>
      <c r="R12" s="1314"/>
    </row>
    <row r="13" spans="2:18" ht="13">
      <c r="C13" s="128" t="str">
        <f>functions_used</f>
        <v>Spreadsheet functions used in this example</v>
      </c>
      <c r="D13" s="80"/>
      <c r="E13" s="80"/>
      <c r="F13" s="80"/>
      <c r="G13" s="129"/>
      <c r="H13" s="80"/>
      <c r="I13" s="80"/>
      <c r="J13" s="80"/>
      <c r="K13" s="80"/>
      <c r="L13" s="80"/>
      <c r="M13" s="80"/>
      <c r="N13" s="80"/>
      <c r="O13" s="80"/>
      <c r="P13" s="80"/>
    </row>
    <row r="14" spans="2:18">
      <c r="C14" s="80" t="str">
        <f>functions_averaging</f>
        <v>AND, AVERAGE, Conditional format, IF, OFFSET, ROW</v>
      </c>
      <c r="D14" s="80"/>
      <c r="E14" s="80"/>
      <c r="F14" s="80"/>
      <c r="G14" s="129"/>
      <c r="H14" s="80"/>
      <c r="I14" s="80"/>
      <c r="J14" s="80"/>
      <c r="K14" s="80"/>
      <c r="L14" s="80"/>
      <c r="M14" s="80"/>
      <c r="N14" s="80"/>
      <c r="O14" s="80"/>
      <c r="P14" s="80"/>
    </row>
    <row r="15" spans="2:18"/>
    <row r="16" spans="2:18">
      <c r="C16" s="1531" t="s">
        <v>665</v>
      </c>
      <c r="D16" s="1531"/>
      <c r="E16" s="1531"/>
      <c r="F16" s="1531"/>
      <c r="G16" s="1531"/>
      <c r="H16" s="1531"/>
      <c r="I16" s="1531"/>
      <c r="J16" s="1531"/>
      <c r="K16" s="1531"/>
      <c r="L16" s="1531"/>
      <c r="M16" s="1531"/>
      <c r="N16" s="1531"/>
      <c r="O16" s="1531"/>
      <c r="P16" s="1531"/>
    </row>
    <row r="17" spans="3:17" ht="7.5" customHeight="1">
      <c r="Q17" s="33"/>
    </row>
    <row r="18" spans="3:17" ht="15" customHeight="1">
      <c r="C18" s="1536" t="s">
        <v>772</v>
      </c>
      <c r="D18" s="547" t="s">
        <v>1361</v>
      </c>
      <c r="E18" s="548" t="s">
        <v>778</v>
      </c>
      <c r="F18" s="549"/>
      <c r="G18" s="1533" t="s">
        <v>1362</v>
      </c>
      <c r="H18" s="550" t="s">
        <v>778</v>
      </c>
      <c r="I18" s="73" t="s">
        <v>698</v>
      </c>
      <c r="J18" s="551" t="s">
        <v>1510</v>
      </c>
      <c r="K18" s="552">
        <v>3</v>
      </c>
      <c r="L18" s="80"/>
      <c r="M18" s="553" t="s">
        <v>1101</v>
      </c>
      <c r="N18" s="498"/>
      <c r="O18" s="521"/>
    </row>
    <row r="19" spans="3:17" ht="12.75" customHeight="1">
      <c r="C19" s="1537"/>
      <c r="D19" s="480">
        <v>1</v>
      </c>
      <c r="E19" s="554">
        <v>100</v>
      </c>
      <c r="F19" s="429"/>
      <c r="G19" s="1534"/>
      <c r="H19" s="554">
        <f ca="1">IF(D19&gt;=$K$18,AVERAGE(E19:OFFSET(E19,1-$K$18,0)),0)</f>
        <v>0</v>
      </c>
      <c r="I19" s="73">
        <f>IF(Averaging!D19&lt;Averaging!$K$18,Averaging!$K$18,Averaging!D19)</f>
        <v>3</v>
      </c>
      <c r="J19" s="555">
        <f ca="1">IF(Averaging!D19&lt;Averaging!$K$18,OFFSET(Averaging!$H$19,Averaging!$K$18-1,0),Averaging!H19)</f>
        <v>97.044233691962191</v>
      </c>
    </row>
    <row r="20" spans="3:17">
      <c r="C20" s="1537"/>
      <c r="D20" s="480">
        <f t="shared" ref="D20:D42" si="0">D19+1</f>
        <v>2</v>
      </c>
      <c r="E20" s="554">
        <v>97.12977041395753</v>
      </c>
      <c r="F20" s="429"/>
      <c r="G20" s="1534"/>
      <c r="H20" s="554">
        <f ca="1">IF(D20&gt;=$K$18,AVERAGE(E20:OFFSET(E20,1-$K$18,0)),0)</f>
        <v>0</v>
      </c>
      <c r="I20" s="73">
        <f>IF(Averaging!D20&lt;Averaging!$K$18,Averaging!$K$18,Averaging!D20)</f>
        <v>3</v>
      </c>
      <c r="J20" s="555">
        <f ca="1">IF(Averaging!D20&lt;Averaging!$K$18,OFFSET(Averaging!$H$19,Averaging!$K$18-1,0),Averaging!H20)</f>
        <v>97.044233691962191</v>
      </c>
      <c r="K20" s="80"/>
      <c r="L20" s="80"/>
      <c r="M20" s="80"/>
      <c r="N20" s="80"/>
      <c r="O20" s="80"/>
    </row>
    <row r="21" spans="3:17">
      <c r="C21" s="1537"/>
      <c r="D21" s="480">
        <f t="shared" si="0"/>
        <v>3</v>
      </c>
      <c r="E21" s="554">
        <v>94.002930661929057</v>
      </c>
      <c r="F21" s="429"/>
      <c r="G21" s="1534"/>
      <c r="H21" s="554">
        <f ca="1">IF(D21&gt;=$K$18,AVERAGE(E21:OFFSET(E21,1-$K$18,0)),0)</f>
        <v>97.044233691962191</v>
      </c>
      <c r="I21" s="73">
        <f>IF(Averaging!D21&lt;Averaging!$K$18,Averaging!$K$18,Averaging!D21)</f>
        <v>3</v>
      </c>
      <c r="J21" s="555">
        <f ca="1">IF(Averaging!D21&lt;Averaging!$K$18,OFFSET(Averaging!$H$19,Averaging!$K$18-1,0),Averaging!H21)</f>
        <v>97.044233691962191</v>
      </c>
    </row>
    <row r="22" spans="3:17">
      <c r="C22" s="1537"/>
      <c r="D22" s="480">
        <f t="shared" si="0"/>
        <v>4</v>
      </c>
      <c r="E22" s="554">
        <v>92.919380412150261</v>
      </c>
      <c r="F22" s="429"/>
      <c r="G22" s="1534"/>
      <c r="H22" s="554">
        <f ca="1">IF(D22&gt;=$K$18,AVERAGE(E22:OFFSET(E22,1-$K$18,0)),0)</f>
        <v>94.684027162678944</v>
      </c>
      <c r="I22" s="73">
        <f>IF(Averaging!D22&lt;Averaging!$K$18,Averaging!$K$18,Averaging!D22)</f>
        <v>4</v>
      </c>
      <c r="J22" s="555">
        <f ca="1">IF(Averaging!D22&lt;Averaging!$K$18,OFFSET(Averaging!$H$19,Averaging!$K$18-1,0),Averaging!H22)</f>
        <v>94.684027162678944</v>
      </c>
      <c r="K22" s="80"/>
      <c r="L22" s="80"/>
      <c r="M22" s="80"/>
      <c r="N22" s="80"/>
      <c r="O22" s="556" t="b">
        <v>1</v>
      </c>
    </row>
    <row r="23" spans="3:17">
      <c r="C23" s="1537"/>
      <c r="D23" s="480">
        <f t="shared" si="0"/>
        <v>5</v>
      </c>
      <c r="E23" s="554">
        <v>91.052633852885293</v>
      </c>
      <c r="F23" s="429"/>
      <c r="G23" s="1534"/>
      <c r="H23" s="554">
        <f ca="1">IF(D23&gt;=$K$18,AVERAGE(E23:OFFSET(E23,1-$K$18,0)),0)</f>
        <v>92.658314975654875</v>
      </c>
      <c r="I23" s="73">
        <f>IF(Averaging!D23&lt;Averaging!$K$18,Averaging!$K$18,Averaging!D23)</f>
        <v>5</v>
      </c>
      <c r="J23" s="555">
        <f ca="1">IF(Averaging!D23&lt;Averaging!$K$18,OFFSET(Averaging!$H$19,Averaging!$K$18-1,0),Averaging!H23)</f>
        <v>92.658314975654875</v>
      </c>
      <c r="K23" s="73" t="e">
        <f ca="1">CF()</f>
        <v>#NAME?</v>
      </c>
    </row>
    <row r="24" spans="3:17">
      <c r="C24" s="1537"/>
      <c r="D24" s="480">
        <f t="shared" si="0"/>
        <v>6</v>
      </c>
      <c r="E24" s="554">
        <v>90.507417322886681</v>
      </c>
      <c r="F24" s="429"/>
      <c r="G24" s="1534"/>
      <c r="H24" s="554">
        <f ca="1">IF(D24&gt;=$K$18,AVERAGE(E24:OFFSET(E24,1-$K$18,0)),0)</f>
        <v>91.49314386264075</v>
      </c>
      <c r="I24" s="73">
        <f>IF(Averaging!D24&lt;Averaging!$K$18,Averaging!$K$18,Averaging!D24)</f>
        <v>6</v>
      </c>
      <c r="J24" s="555">
        <f ca="1">IF(Averaging!D24&lt;Averaging!$K$18,OFFSET(Averaging!$H$19,Averaging!$K$18-1,0),Averaging!H24)</f>
        <v>91.49314386264075</v>
      </c>
    </row>
    <row r="25" spans="3:17">
      <c r="C25" s="1537"/>
      <c r="D25" s="480">
        <f t="shared" si="0"/>
        <v>7</v>
      </c>
      <c r="E25" s="554">
        <v>86.041724530358962</v>
      </c>
      <c r="F25" s="429"/>
      <c r="G25" s="1534"/>
      <c r="H25" s="554">
        <f ca="1">IF(D25&gt;=$K$18,AVERAGE(E25:OFFSET(E25,1-$K$18,0)),0)</f>
        <v>89.200591902043641</v>
      </c>
      <c r="I25" s="73">
        <f>IF(Averaging!D25&lt;Averaging!$K$18,Averaging!$K$18,Averaging!D25)</f>
        <v>7</v>
      </c>
      <c r="J25" s="555">
        <f ca="1">IF(Averaging!D25&lt;Averaging!$K$18,OFFSET(Averaging!$H$19,Averaging!$K$18-1,0),Averaging!H25)</f>
        <v>89.200591902043641</v>
      </c>
    </row>
    <row r="26" spans="3:17">
      <c r="C26" s="1537"/>
      <c r="D26" s="480">
        <f t="shared" si="0"/>
        <v>8</v>
      </c>
      <c r="E26" s="554">
        <v>90.080732629174264</v>
      </c>
      <c r="F26" s="429"/>
      <c r="G26" s="1534"/>
      <c r="H26" s="554">
        <f ca="1">IF(D26&gt;=$K$18,AVERAGE(E26:OFFSET(E26,1-$K$18,0)),0)</f>
        <v>88.876624827473321</v>
      </c>
      <c r="I26" s="73">
        <f>IF(Averaging!D26&lt;Averaging!$K$18,Averaging!$K$18,Averaging!D26)</f>
        <v>8</v>
      </c>
      <c r="J26" s="555">
        <f ca="1">IF(Averaging!D26&lt;Averaging!$K$18,OFFSET(Averaging!$H$19,Averaging!$K$18-1,0),Averaging!H26)</f>
        <v>88.876624827473321</v>
      </c>
    </row>
    <row r="27" spans="3:17">
      <c r="C27" s="1537"/>
      <c r="D27" s="480">
        <f t="shared" si="0"/>
        <v>9</v>
      </c>
      <c r="E27" s="554">
        <v>85.373102024078605</v>
      </c>
      <c r="F27" s="429"/>
      <c r="G27" s="1534"/>
      <c r="H27" s="554">
        <f ca="1">IF(D27&gt;=$K$18,AVERAGE(E27:OFFSET(E27,1-$K$18,0)),0)</f>
        <v>87.165186394537272</v>
      </c>
      <c r="I27" s="73">
        <f>IF(Averaging!D27&lt;Averaging!$K$18,Averaging!$K$18,Averaging!D27)</f>
        <v>9</v>
      </c>
      <c r="J27" s="555">
        <f ca="1">IF(Averaging!D27&lt;Averaging!$K$18,OFFSET(Averaging!$H$19,Averaging!$K$18-1,0),Averaging!H27)</f>
        <v>87.165186394537272</v>
      </c>
    </row>
    <row r="28" spans="3:17">
      <c r="C28" s="1537"/>
      <c r="D28" s="480">
        <f t="shared" si="0"/>
        <v>10</v>
      </c>
      <c r="E28" s="554">
        <v>83.763088641495557</v>
      </c>
      <c r="F28" s="429"/>
      <c r="G28" s="1534"/>
      <c r="H28" s="554">
        <f ca="1">IF(D28&gt;=$K$18,AVERAGE(E28:OFFSET(E28,1-$K$18,0)),0)</f>
        <v>86.405641098249475</v>
      </c>
      <c r="I28" s="73">
        <f>IF(Averaging!D28&lt;Averaging!$K$18,Averaging!$K$18,Averaging!D28)</f>
        <v>10</v>
      </c>
      <c r="J28" s="555">
        <f ca="1">IF(Averaging!D28&lt;Averaging!$K$18,OFFSET(Averaging!$H$19,Averaging!$K$18-1,0),Averaging!H28)</f>
        <v>86.405641098249475</v>
      </c>
    </row>
    <row r="29" spans="3:17">
      <c r="C29" s="1537"/>
      <c r="D29" s="480">
        <f t="shared" si="0"/>
        <v>11</v>
      </c>
      <c r="E29" s="554">
        <v>84.6762833883555</v>
      </c>
      <c r="F29" s="429"/>
      <c r="G29" s="1534"/>
      <c r="H29" s="554">
        <f ca="1">IF(D29&gt;=$K$18,AVERAGE(E29:OFFSET(E29,1-$K$18,0)),0)</f>
        <v>84.604158017976559</v>
      </c>
      <c r="I29" s="73">
        <f>IF(Averaging!D29&lt;Averaging!$K$18,Averaging!$K$18,Averaging!D29)</f>
        <v>11</v>
      </c>
      <c r="J29" s="555">
        <f ca="1">IF(Averaging!D29&lt;Averaging!$K$18,OFFSET(Averaging!$H$19,Averaging!$K$18-1,0),Averaging!H29)</f>
        <v>84.604158017976559</v>
      </c>
    </row>
    <row r="30" spans="3:17">
      <c r="C30" s="1537"/>
      <c r="D30" s="480">
        <f t="shared" si="0"/>
        <v>12</v>
      </c>
      <c r="E30" s="554">
        <v>88.935708003975805</v>
      </c>
      <c r="F30" s="429"/>
      <c r="G30" s="1534"/>
      <c r="H30" s="554">
        <f ca="1">IF(D30&gt;=$K$18,AVERAGE(E30:OFFSET(E30,1-$K$18,0)),0)</f>
        <v>85.791693344608959</v>
      </c>
      <c r="I30" s="73">
        <f>IF(Averaging!D30&lt;Averaging!$K$18,Averaging!$K$18,Averaging!D30)</f>
        <v>12</v>
      </c>
      <c r="J30" s="555">
        <f ca="1">IF(Averaging!D30&lt;Averaging!$K$18,OFFSET(Averaging!$H$19,Averaging!$K$18-1,0),Averaging!H30)</f>
        <v>85.791693344608959</v>
      </c>
    </row>
    <row r="31" spans="3:17">
      <c r="C31" s="1537"/>
      <c r="D31" s="480">
        <f t="shared" si="0"/>
        <v>13</v>
      </c>
      <c r="E31" s="554">
        <v>89.261869975198138</v>
      </c>
      <c r="F31" s="429"/>
      <c r="G31" s="1534"/>
      <c r="H31" s="554">
        <f ca="1">IF(D31&gt;=$K$18,AVERAGE(E31:OFFSET(E31,1-$K$18,0)),0)</f>
        <v>87.624620455843157</v>
      </c>
      <c r="I31" s="73">
        <f>IF(Averaging!D31&lt;Averaging!$K$18,Averaging!$K$18,Averaging!D31)</f>
        <v>13</v>
      </c>
      <c r="J31" s="555">
        <f ca="1">IF(Averaging!D31&lt;Averaging!$K$18,OFFSET(Averaging!$H$19,Averaging!$K$18-1,0),Averaging!H31)</f>
        <v>87.624620455843157</v>
      </c>
    </row>
    <row r="32" spans="3:17">
      <c r="C32" s="1537"/>
      <c r="D32" s="480">
        <f t="shared" si="0"/>
        <v>14</v>
      </c>
      <c r="E32" s="554">
        <v>96.786917095704069</v>
      </c>
      <c r="F32" s="429"/>
      <c r="G32" s="1534"/>
      <c r="H32" s="554">
        <f ca="1">IF(D32&gt;=$K$18,AVERAGE(E32:OFFSET(E32,1-$K$18,0)),0)</f>
        <v>91.66149835829269</v>
      </c>
      <c r="I32" s="73">
        <f>IF(Averaging!D32&lt;Averaging!$K$18,Averaging!$K$18,Averaging!D32)</f>
        <v>14</v>
      </c>
      <c r="J32" s="555">
        <f ca="1">IF(Averaging!D32&lt;Averaging!$K$18,OFFSET(Averaging!$H$19,Averaging!$K$18-1,0),Averaging!H32)</f>
        <v>91.66149835829269</v>
      </c>
    </row>
    <row r="33" spans="3:16">
      <c r="C33" s="1537"/>
      <c r="D33" s="480">
        <f t="shared" si="0"/>
        <v>15</v>
      </c>
      <c r="E33" s="554">
        <v>94.95112652476449</v>
      </c>
      <c r="F33" s="429"/>
      <c r="G33" s="1534"/>
      <c r="H33" s="554">
        <f ca="1">IF(D33&gt;=$K$18,AVERAGE(E33:OFFSET(E33,1-$K$18,0)),0)</f>
        <v>93.666637865222242</v>
      </c>
      <c r="I33" s="73">
        <f>IF(Averaging!D33&lt;Averaging!$K$18,Averaging!$K$18,Averaging!D33)</f>
        <v>15</v>
      </c>
      <c r="J33" s="555">
        <f ca="1">IF(Averaging!D33&lt;Averaging!$K$18,OFFSET(Averaging!$H$19,Averaging!$K$18-1,0),Averaging!H33)</f>
        <v>93.666637865222242</v>
      </c>
    </row>
    <row r="34" spans="3:16">
      <c r="C34" s="1537"/>
      <c r="D34" s="480">
        <f t="shared" si="0"/>
        <v>16</v>
      </c>
      <c r="E34" s="554">
        <v>100.59499496735094</v>
      </c>
      <c r="F34" s="429"/>
      <c r="G34" s="1534"/>
      <c r="H34" s="554">
        <f ca="1">IF(D34&gt;=$K$18,AVERAGE(E34:OFFSET(E34,1-$K$18,0)),0)</f>
        <v>97.444346195939829</v>
      </c>
      <c r="I34" s="73">
        <f>IF(Averaging!D34&lt;Averaging!$K$18,Averaging!$K$18,Averaging!D34)</f>
        <v>16</v>
      </c>
      <c r="J34" s="555">
        <f ca="1">IF(Averaging!D34&lt;Averaging!$K$18,OFFSET(Averaging!$H$19,Averaging!$K$18-1,0),Averaging!H34)</f>
        <v>97.444346195939829</v>
      </c>
    </row>
    <row r="35" spans="3:16">
      <c r="C35" s="1537"/>
      <c r="D35" s="480">
        <f t="shared" si="0"/>
        <v>17</v>
      </c>
      <c r="E35" s="554">
        <v>101.86362979714656</v>
      </c>
      <c r="F35" s="429"/>
      <c r="G35" s="1534"/>
      <c r="H35" s="554">
        <f ca="1">IF(D35&gt;=$K$18,AVERAGE(E35:OFFSET(E35,1-$K$18,0)),0)</f>
        <v>99.13658376308733</v>
      </c>
      <c r="I35" s="73">
        <f>IF(Averaging!D35&lt;Averaging!$K$18,Averaging!$K$18,Averaging!D35)</f>
        <v>17</v>
      </c>
      <c r="J35" s="555">
        <f ca="1">IF(Averaging!D35&lt;Averaging!$K$18,OFFSET(Averaging!$H$19,Averaging!$K$18-1,0),Averaging!H35)</f>
        <v>99.13658376308733</v>
      </c>
    </row>
    <row r="36" spans="3:16">
      <c r="C36" s="1537"/>
      <c r="D36" s="480">
        <f t="shared" si="0"/>
        <v>18</v>
      </c>
      <c r="E36" s="554">
        <v>102.01480987336882</v>
      </c>
      <c r="F36" s="429"/>
      <c r="G36" s="1534"/>
      <c r="H36" s="554">
        <f ca="1">IF(D36&gt;=$K$18,AVERAGE(E36:OFFSET(E36,1-$K$18,0)),0)</f>
        <v>101.49114487928877</v>
      </c>
      <c r="I36" s="73">
        <f>IF(Averaging!D36&lt;Averaging!$K$18,Averaging!$K$18,Averaging!D36)</f>
        <v>18</v>
      </c>
      <c r="J36" s="555">
        <f ca="1">IF(Averaging!D36&lt;Averaging!$K$18,OFFSET(Averaging!$H$19,Averaging!$K$18-1,0),Averaging!H36)</f>
        <v>101.49114487928877</v>
      </c>
    </row>
    <row r="37" spans="3:16">
      <c r="C37" s="1537"/>
      <c r="D37" s="480">
        <f t="shared" si="0"/>
        <v>19</v>
      </c>
      <c r="E37" s="554">
        <v>101.27610371221286</v>
      </c>
      <c r="F37" s="429"/>
      <c r="G37" s="1534"/>
      <c r="H37" s="554">
        <f ca="1">IF(D37&gt;=$K$18,AVERAGE(E37:OFFSET(E37,1-$K$18,0)),0)</f>
        <v>101.71818112757607</v>
      </c>
      <c r="I37" s="73">
        <f>IF(Averaging!D37&lt;Averaging!$K$18,Averaging!$K$18,Averaging!D37)</f>
        <v>19</v>
      </c>
      <c r="J37" s="555">
        <f ca="1">IF(Averaging!D37&lt;Averaging!$K$18,OFFSET(Averaging!$H$19,Averaging!$K$18-1,0),Averaging!H37)</f>
        <v>101.71818112757607</v>
      </c>
    </row>
    <row r="38" spans="3:16">
      <c r="C38" s="1537"/>
      <c r="D38" s="480">
        <f t="shared" si="0"/>
        <v>20</v>
      </c>
      <c r="E38" s="554">
        <v>94.236777298609368</v>
      </c>
      <c r="F38" s="429"/>
      <c r="G38" s="1534"/>
      <c r="H38" s="554">
        <f ca="1">IF(D38&gt;=$K$18,AVERAGE(E38:OFFSET(E38,1-$K$18,0)),0)</f>
        <v>99.175896961397015</v>
      </c>
      <c r="I38" s="73">
        <f>IF(Averaging!D38&lt;Averaging!$K$18,Averaging!$K$18,Averaging!D38)</f>
        <v>20</v>
      </c>
      <c r="J38" s="555">
        <f ca="1">IF(Averaging!D38&lt;Averaging!$K$18,OFFSET(Averaging!$H$19,Averaging!$K$18-1,0),Averaging!H38)</f>
        <v>99.175896961397015</v>
      </c>
    </row>
    <row r="39" spans="3:16">
      <c r="C39" s="1537"/>
      <c r="D39" s="480">
        <f t="shared" si="0"/>
        <v>21</v>
      </c>
      <c r="E39" s="554">
        <v>91.143560734088325</v>
      </c>
      <c r="F39" s="429"/>
      <c r="G39" s="1534"/>
      <c r="H39" s="554">
        <f ca="1">IF(D39&gt;=$K$18,AVERAGE(E39:OFFSET(E39,1-$K$18,0)),0)</f>
        <v>95.552147248303527</v>
      </c>
      <c r="I39" s="73">
        <f>IF(Averaging!D39&lt;Averaging!$K$18,Averaging!$K$18,Averaging!D39)</f>
        <v>21</v>
      </c>
      <c r="J39" s="555">
        <f ca="1">IF(Averaging!D39&lt;Averaging!$K$18,OFFSET(Averaging!$H$19,Averaging!$K$18-1,0),Averaging!H39)</f>
        <v>95.552147248303527</v>
      </c>
    </row>
    <row r="40" spans="3:16">
      <c r="C40" s="1537"/>
      <c r="D40" s="480">
        <f t="shared" si="0"/>
        <v>22</v>
      </c>
      <c r="E40" s="554">
        <v>95.758395305409991</v>
      </c>
      <c r="F40" s="429"/>
      <c r="G40" s="1534"/>
      <c r="H40" s="554">
        <f ca="1">IF(D40&gt;=$K$18,AVERAGE(E40:OFFSET(E40,1-$K$18,0)),0)</f>
        <v>93.712911112702557</v>
      </c>
      <c r="I40" s="73">
        <f>IF(Averaging!D40&lt;Averaging!$K$18,Averaging!$K$18,Averaging!D40)</f>
        <v>22</v>
      </c>
      <c r="J40" s="555">
        <f ca="1">IF(Averaging!D40&lt;Averaging!$K$18,OFFSET(Averaging!$H$19,Averaging!$K$18-1,0),Averaging!H40)</f>
        <v>93.712911112702557</v>
      </c>
    </row>
    <row r="41" spans="3:16">
      <c r="C41" s="1537"/>
      <c r="D41" s="480">
        <f t="shared" si="0"/>
        <v>23</v>
      </c>
      <c r="E41" s="554">
        <v>102.4852313454393</v>
      </c>
      <c r="F41" s="429"/>
      <c r="G41" s="1534"/>
      <c r="H41" s="554">
        <f ca="1">IF(D41&gt;=$K$18,AVERAGE(E41:OFFSET(E41,1-$K$18,0)),0)</f>
        <v>96.462395794979216</v>
      </c>
      <c r="I41" s="73">
        <f>IF(Averaging!D41&lt;Averaging!$K$18,Averaging!$K$18,Averaging!D41)</f>
        <v>23</v>
      </c>
      <c r="J41" s="555">
        <f ca="1">IF(Averaging!D41&lt;Averaging!$K$18,OFFSET(Averaging!$H$19,Averaging!$K$18-1,0),Averaging!H41)</f>
        <v>96.462395794979216</v>
      </c>
    </row>
    <row r="42" spans="3:16">
      <c r="C42" s="1538"/>
      <c r="D42" s="482">
        <f t="shared" si="0"/>
        <v>24</v>
      </c>
      <c r="E42" s="557">
        <v>106.72248127772338</v>
      </c>
      <c r="F42" s="429"/>
      <c r="G42" s="1535"/>
      <c r="H42" s="557">
        <f ca="1">IF(D42&gt;=$K$18,AVERAGE(E42:OFFSET(E42,1-$K$18,0)),0)</f>
        <v>101.65536930952423</v>
      </c>
      <c r="I42" s="73">
        <f>IF(Averaging!D42&lt;Averaging!$K$18,Averaging!$K$18,Averaging!D42)</f>
        <v>24</v>
      </c>
      <c r="J42" s="555">
        <f ca="1">IF(Averaging!D42&lt;Averaging!$K$18,OFFSET(Averaging!$H$19,Averaging!$K$18-1,0),Averaging!H42)</f>
        <v>101.65536930952423</v>
      </c>
    </row>
    <row r="43" spans="3:16">
      <c r="C43" s="73" t="e">
        <f ca="1">CF()</f>
        <v>#NAME?</v>
      </c>
    </row>
    <row r="44" spans="3:16">
      <c r="C44" s="1454" t="str">
        <f>back_to_index</f>
        <v>Back to contents</v>
      </c>
      <c r="D44" s="1454"/>
      <c r="I44" s="1530" t="str">
        <f>page_prefix &amp; page_Averaging &amp; page_suffix</f>
        <v>- Page 4 -</v>
      </c>
      <c r="J44" s="1530"/>
      <c r="K44" s="1530"/>
      <c r="L44" s="1530"/>
      <c r="O44" s="1532" t="s">
        <v>1506</v>
      </c>
      <c r="P44" s="1532"/>
    </row>
    <row r="45" spans="3:16">
      <c r="I45" s="1530" t="str">
        <f>copyright</f>
        <v>Copyright (c) 2009 Tykoh Group Pty Limited</v>
      </c>
      <c r="J45" s="1530"/>
      <c r="K45" s="1530"/>
      <c r="L45" s="1530"/>
    </row>
    <row r="46" spans="3:16">
      <c r="I46" s="1452" t="str">
        <f>home_address</f>
        <v>www.tykoh.com</v>
      </c>
      <c r="J46" s="1452"/>
      <c r="K46" s="1452"/>
      <c r="L46" s="1452"/>
    </row>
    <row r="47" spans="3:16"/>
  </sheetData>
  <sheetProtection algorithmName="SHA-512" hashValue="8/wHBpza/gcusY2BeloSuGHA0zn8lnzp30Iv/NRPrfa+hMd4rP8gRU0YfXCzPd5xOrZwizCVMuiGVH9kOiRz/A==" saltValue="oWvf5G3pY5AzLYlfM4KuBQ==" spinCount="100000" sheet="1" objects="1" scenarios="1"/>
  <mergeCells count="12">
    <mergeCell ref="I46:L46"/>
    <mergeCell ref="C16:P16"/>
    <mergeCell ref="O44:P44"/>
    <mergeCell ref="G18:G42"/>
    <mergeCell ref="C18:C42"/>
    <mergeCell ref="I44:L44"/>
    <mergeCell ref="C44:D44"/>
    <mergeCell ref="I2:L2"/>
    <mergeCell ref="C5:L8"/>
    <mergeCell ref="C10:P11"/>
    <mergeCell ref="N4:P8"/>
    <mergeCell ref="I45:L45"/>
  </mergeCells>
  <phoneticPr fontId="2" type="noConversion"/>
  <conditionalFormatting sqref="H20:H42">
    <cfRule type="expression" dxfId="97" priority="1" stopIfTrue="1">
      <formula>AND($E20&gt;$J20,$J19&gt;$E19,$D20&gt;=$K$18,$O$22)</formula>
    </cfRule>
    <cfRule type="expression" dxfId="96" priority="2" stopIfTrue="1">
      <formula>AND($E20&lt;$J20,$J19&lt;$E19,$D20&gt;=$K$18,$O$22)</formula>
    </cfRule>
  </conditionalFormatting>
  <conditionalFormatting sqref="H19">
    <cfRule type="expression" dxfId="95" priority="3" stopIfTrue="1">
      <formula>AND($E19&gt;$J19,#REF!&gt;$E18,$D19&gt;=$K$18,$O$22)</formula>
    </cfRule>
    <cfRule type="expression" dxfId="94" priority="4" stopIfTrue="1">
      <formula>AND($E19&lt;$J19,#REF!&lt;$E18,$D19&gt;=$K$18,$O$22)</formula>
    </cfRule>
  </conditionalFormatting>
  <dataValidations disablePrompts="1" count="1">
    <dataValidation type="list" allowBlank="1" showInputMessage="1" showErrorMessage="1" sqref="K18" xr:uid="{00000000-0002-0000-0300-000000000000}">
      <formula1>"1,2,3,4,5,6,7,8"</formula1>
    </dataValidation>
  </dataValidations>
  <hyperlinks>
    <hyperlink ref="O44:P44" location="hh_Averaging" display="Back to top" xr:uid="{00000000-0004-0000-0300-000000000000}"/>
    <hyperlink ref="C44:D44" location="hh_index" display="hh_index" xr:uid="{00000000-0004-0000-0300-000001000000}"/>
    <hyperlink ref="I46:L46" r:id="rId1" display="https://www.tykoh.com/" xr:uid="{00000000-0004-0000-0300-000002000000}"/>
  </hyperlinks>
  <pageMargins left="0.75" right="0.75" top="1" bottom="1" header="0.5" footer="0.5"/>
  <pageSetup scale="74"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9219" r:id="rId5" name="Check Box 1027">
              <controlPr locked="0" defaultSize="0" autoFill="0" autoLine="0" autoPict="0">
                <anchor moveWithCells="1">
                  <from>
                    <xdr:col>12</xdr:col>
                    <xdr:colOff>12700</xdr:colOff>
                    <xdr:row>16</xdr:row>
                    <xdr:rowOff>133350</xdr:rowOff>
                  </from>
                  <to>
                    <xdr:col>12</xdr:col>
                    <xdr:colOff>330200</xdr:colOff>
                    <xdr:row>18</xdr:row>
                    <xdr:rowOff>25400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pageSetUpPr fitToPage="1"/>
  </sheetPr>
  <dimension ref="C1:O71"/>
  <sheetViews>
    <sheetView showGridLines="0" showRowColHeaders="0" topLeftCell="A49" workbookViewId="0">
      <selection activeCell="G70" sqref="G70:K70"/>
    </sheetView>
  </sheetViews>
  <sheetFormatPr defaultColWidth="0" defaultRowHeight="12.5" zeroHeight="1"/>
  <cols>
    <col min="1" max="2" width="1" customWidth="1"/>
    <col min="3" max="15" width="8.7265625" customWidth="1"/>
    <col min="16" max="16" width="1.81640625" customWidth="1"/>
  </cols>
  <sheetData>
    <row r="1" spans="3:15"/>
    <row r="2" spans="3:15">
      <c r="C2" s="105"/>
      <c r="D2" s="105"/>
      <c r="E2" s="105"/>
      <c r="F2" s="105"/>
      <c r="G2" s="105"/>
      <c r="H2" s="105"/>
      <c r="I2" s="105"/>
      <c r="J2" s="105"/>
      <c r="K2" s="105"/>
      <c r="L2" s="105"/>
      <c r="M2" s="105"/>
      <c r="N2" s="105"/>
      <c r="O2" s="105"/>
    </row>
    <row r="3" spans="3:15" ht="16" thickBot="1">
      <c r="C3" s="96" t="s">
        <v>9</v>
      </c>
    </row>
    <row r="4" spans="3:15" ht="13.5" customHeight="1" thickTop="1">
      <c r="M4" s="1521" t="str">
        <f ca="1">OFFSET(ad_first,OFFSET(ads_top,ROW(ads_fn_IF)-1,1),0)</f>
        <v>Our modelling and spreadsheet skills courses cover both core and extended spreadsheet and finance topics.</v>
      </c>
      <c r="N4" s="1522"/>
      <c r="O4" s="1523"/>
    </row>
    <row r="5" spans="3:15">
      <c r="C5" s="1518" t="s">
        <v>110</v>
      </c>
      <c r="D5" s="1518"/>
      <c r="E5" s="1518"/>
      <c r="F5" s="1518"/>
      <c r="G5" s="1518"/>
      <c r="H5" s="1518"/>
      <c r="I5" s="1518"/>
      <c r="J5" s="1518"/>
      <c r="K5" s="1518"/>
      <c r="L5" s="777"/>
      <c r="M5" s="1524"/>
      <c r="N5" s="1525"/>
      <c r="O5" s="1526"/>
    </row>
    <row r="6" spans="3:15">
      <c r="C6" s="1518"/>
      <c r="D6" s="1518"/>
      <c r="E6" s="1518"/>
      <c r="F6" s="1518"/>
      <c r="G6" s="1518"/>
      <c r="H6" s="1518"/>
      <c r="I6" s="1518"/>
      <c r="J6" s="1518"/>
      <c r="K6" s="1518"/>
      <c r="L6" s="777"/>
      <c r="M6" s="1524"/>
      <c r="N6" s="1525"/>
      <c r="O6" s="1526"/>
    </row>
    <row r="7" spans="3:15">
      <c r="C7" s="1518"/>
      <c r="D7" s="1518"/>
      <c r="E7" s="1518"/>
      <c r="F7" s="1518"/>
      <c r="G7" s="1518"/>
      <c r="H7" s="1518"/>
      <c r="I7" s="1518"/>
      <c r="J7" s="1518"/>
      <c r="K7" s="1518"/>
      <c r="L7" s="777"/>
      <c r="M7" s="1524"/>
      <c r="N7" s="1525"/>
      <c r="O7" s="1526"/>
    </row>
    <row r="8" spans="3:15" ht="13" thickBot="1">
      <c r="C8" s="619"/>
      <c r="D8" s="619"/>
      <c r="E8" s="619"/>
      <c r="F8" s="619"/>
      <c r="G8" s="619"/>
      <c r="H8" s="619"/>
      <c r="I8" s="619"/>
      <c r="J8" s="619"/>
      <c r="K8" s="619"/>
      <c r="L8" s="777"/>
      <c r="M8" s="1527"/>
      <c r="N8" s="1528"/>
      <c r="O8" s="1529"/>
    </row>
    <row r="9" spans="3:15" ht="13" thickTop="1">
      <c r="C9" s="1468" t="s">
        <v>1119</v>
      </c>
      <c r="D9" s="1468"/>
      <c r="E9" s="1468"/>
      <c r="F9" s="1468"/>
      <c r="G9" s="1468"/>
      <c r="H9" s="1468"/>
      <c r="I9" s="1468"/>
      <c r="J9" s="777"/>
      <c r="K9" s="777"/>
      <c r="L9" s="777"/>
      <c r="M9" s="1310"/>
      <c r="N9" s="1311"/>
      <c r="O9" s="1311"/>
    </row>
    <row r="10" spans="3:15">
      <c r="C10" s="619"/>
      <c r="D10" s="619"/>
      <c r="E10" s="619"/>
      <c r="F10" s="619"/>
      <c r="G10" s="619"/>
      <c r="H10" s="619"/>
      <c r="I10" s="619"/>
      <c r="J10" s="619"/>
      <c r="K10" s="619"/>
      <c r="L10" s="777"/>
      <c r="M10" s="777"/>
      <c r="N10" s="777"/>
      <c r="O10" s="777"/>
    </row>
    <row r="11" spans="3:15">
      <c r="C11" s="1518" t="s">
        <v>109</v>
      </c>
      <c r="D11" s="1518"/>
      <c r="E11" s="1518"/>
      <c r="F11" s="1518"/>
      <c r="G11" s="1518"/>
      <c r="H11" s="1518"/>
      <c r="I11" s="1518"/>
      <c r="J11" s="1518"/>
      <c r="K11" s="1518"/>
      <c r="L11" s="1518"/>
      <c r="M11" s="1518"/>
      <c r="N11" s="1518"/>
      <c r="O11" s="1518"/>
    </row>
    <row r="12" spans="3:15">
      <c r="C12" s="777"/>
      <c r="D12" s="777"/>
      <c r="E12" s="777"/>
      <c r="F12" s="777"/>
      <c r="G12" s="777"/>
      <c r="H12" s="777"/>
      <c r="I12" s="777"/>
      <c r="J12" s="777"/>
      <c r="K12" s="777"/>
      <c r="L12" s="777"/>
      <c r="M12" s="777"/>
      <c r="N12" s="777"/>
      <c r="O12" s="777"/>
    </row>
    <row r="13" spans="3:15" ht="13" thickBot="1">
      <c r="C13" s="781"/>
      <c r="D13" s="782" t="s">
        <v>1363</v>
      </c>
      <c r="E13" s="781" t="s">
        <v>1364</v>
      </c>
      <c r="F13" s="782" t="s">
        <v>1473</v>
      </c>
      <c r="G13" s="781" t="s">
        <v>1474</v>
      </c>
      <c r="H13" s="781" t="s">
        <v>1475</v>
      </c>
      <c r="I13" s="781" t="s">
        <v>1476</v>
      </c>
      <c r="J13" s="781" t="s">
        <v>497</v>
      </c>
      <c r="K13" s="781" t="s">
        <v>1511</v>
      </c>
    </row>
    <row r="14" spans="3:15" ht="13" thickBot="1">
      <c r="C14" s="783">
        <v>1</v>
      </c>
      <c r="D14" s="784">
        <v>5</v>
      </c>
      <c r="E14" s="785"/>
      <c r="F14" s="786">
        <v>6</v>
      </c>
      <c r="G14" s="788"/>
      <c r="H14" s="789"/>
      <c r="I14" s="789"/>
      <c r="J14" s="789"/>
      <c r="K14" s="789"/>
    </row>
    <row r="15" spans="3:15">
      <c r="C15" s="781">
        <v>2</v>
      </c>
      <c r="D15" s="790"/>
      <c r="E15" s="789"/>
      <c r="F15" s="790"/>
      <c r="G15" s="789"/>
      <c r="H15" s="789"/>
      <c r="I15" s="789"/>
      <c r="J15" s="789"/>
      <c r="K15" s="789"/>
    </row>
    <row r="16" spans="3:15">
      <c r="C16" s="781">
        <v>3</v>
      </c>
      <c r="D16" s="1709" t="str">
        <f>IF(D14&gt;F14,"greater","less or equal")</f>
        <v>less or equal</v>
      </c>
      <c r="E16" s="1709"/>
      <c r="F16" s="900" t="s">
        <v>257</v>
      </c>
      <c r="G16" s="789"/>
      <c r="H16" s="789"/>
      <c r="I16" s="789"/>
      <c r="J16" s="789"/>
      <c r="K16" s="789"/>
    </row>
    <row r="17" spans="3:15">
      <c r="C17" s="781">
        <v>4</v>
      </c>
      <c r="D17" s="789"/>
      <c r="E17" s="789"/>
      <c r="F17" s="789"/>
      <c r="G17" s="789"/>
      <c r="H17" s="789"/>
      <c r="I17" s="789"/>
      <c r="J17" s="789"/>
      <c r="K17" s="789"/>
      <c r="O17" s="1045"/>
    </row>
    <row r="18" spans="3:15"/>
    <row r="19" spans="3:15">
      <c r="C19" t="s">
        <v>256</v>
      </c>
    </row>
    <row r="20" spans="3:15" ht="13" thickBot="1"/>
    <row r="21" spans="3:15" ht="13.5" thickTop="1" thickBot="1">
      <c r="C21" s="781"/>
      <c r="D21" s="782" t="s">
        <v>1363</v>
      </c>
      <c r="E21" s="781" t="s">
        <v>1364</v>
      </c>
      <c r="F21" s="782" t="s">
        <v>1473</v>
      </c>
      <c r="G21" s="781" t="s">
        <v>1474</v>
      </c>
      <c r="H21" s="781" t="s">
        <v>1475</v>
      </c>
      <c r="I21" s="781" t="s">
        <v>1476</v>
      </c>
      <c r="J21" s="781" t="s">
        <v>497</v>
      </c>
      <c r="K21" s="781" t="s">
        <v>1511</v>
      </c>
      <c r="M21" s="1521" t="str">
        <f ca="1">OFFSET(ad_first,OFFSET(ads_top,ROW(ads_fn_IF)-1,2),0)</f>
        <v>Our Visual Basic course shows how to increase the "wow-factor" of your developed applications</v>
      </c>
      <c r="N21" s="1522"/>
      <c r="O21" s="1523"/>
    </row>
    <row r="22" spans="3:15" ht="13" thickBot="1">
      <c r="C22" s="783">
        <v>1</v>
      </c>
      <c r="D22" s="979">
        <v>7</v>
      </c>
      <c r="E22" s="785"/>
      <c r="F22" s="1009">
        <v>7</v>
      </c>
      <c r="G22" s="788"/>
      <c r="H22" s="789"/>
      <c r="I22" s="789"/>
      <c r="J22" s="789"/>
      <c r="K22" s="789"/>
      <c r="M22" s="1524"/>
      <c r="N22" s="1525"/>
      <c r="O22" s="1526"/>
    </row>
    <row r="23" spans="3:15">
      <c r="C23" s="781">
        <v>2</v>
      </c>
      <c r="D23" s="790"/>
      <c r="E23" s="789"/>
      <c r="F23" s="790"/>
      <c r="G23" s="789"/>
      <c r="H23" s="789"/>
      <c r="I23" s="789"/>
      <c r="J23" s="789"/>
      <c r="K23" s="789"/>
      <c r="M23" s="1524"/>
      <c r="N23" s="1525"/>
      <c r="O23" s="1526"/>
    </row>
    <row r="24" spans="3:15">
      <c r="C24" s="781">
        <f>C23+1</f>
        <v>3</v>
      </c>
      <c r="D24" s="789"/>
      <c r="E24" s="789"/>
      <c r="F24" s="789"/>
      <c r="G24" s="789"/>
      <c r="H24" s="789"/>
      <c r="I24" s="789"/>
      <c r="J24" s="789"/>
      <c r="K24" s="789"/>
      <c r="M24" s="1524"/>
      <c r="N24" s="1525"/>
      <c r="O24" s="1526"/>
    </row>
    <row r="25" spans="3:15" ht="13" thickBot="1">
      <c r="C25" s="781">
        <f>C24+1</f>
        <v>4</v>
      </c>
      <c r="D25" s="789"/>
      <c r="E25" s="789"/>
      <c r="F25" s="789"/>
      <c r="G25" s="789"/>
      <c r="H25" s="789"/>
      <c r="I25" s="789"/>
      <c r="J25" s="789"/>
      <c r="K25" s="789"/>
      <c r="M25" s="1527"/>
      <c r="N25" s="1528"/>
      <c r="O25" s="1529"/>
    </row>
    <row r="26" spans="3:15" ht="13" thickTop="1">
      <c r="C26" s="781">
        <f>C25+1</f>
        <v>5</v>
      </c>
      <c r="D26" s="1710" t="str">
        <f>IF(D22&gt;F22,"greater","less or equal")</f>
        <v>less or equal</v>
      </c>
      <c r="E26" s="1710"/>
      <c r="F26" s="900" t="s">
        <v>257</v>
      </c>
      <c r="G26" s="789"/>
      <c r="H26" s="789"/>
      <c r="I26" s="789"/>
      <c r="J26" s="789"/>
      <c r="K26" s="789"/>
      <c r="M26" s="1310"/>
      <c r="N26" s="1311"/>
      <c r="O26" s="1311"/>
    </row>
    <row r="27" spans="3:15">
      <c r="C27" s="781">
        <f>C26+1</f>
        <v>6</v>
      </c>
      <c r="D27" s="789"/>
      <c r="E27" s="789"/>
      <c r="F27" s="789"/>
      <c r="G27" s="789"/>
      <c r="H27" s="789"/>
      <c r="I27" s="789"/>
      <c r="J27" s="789"/>
      <c r="K27" s="789"/>
    </row>
    <row r="28" spans="3:15"/>
    <row r="29" spans="3:15" ht="13">
      <c r="C29" s="111" t="s">
        <v>258</v>
      </c>
    </row>
    <row r="30" spans="3:15"/>
    <row r="31" spans="3:15">
      <c r="C31" s="1518" t="s">
        <v>733</v>
      </c>
      <c r="D31" s="1518"/>
      <c r="E31" s="1518"/>
      <c r="F31" s="1518"/>
      <c r="G31" s="1518"/>
      <c r="H31" s="1518"/>
      <c r="I31" s="1518"/>
      <c r="J31" s="1518"/>
      <c r="K31" s="1518"/>
      <c r="L31" s="1518"/>
      <c r="M31" s="1518"/>
      <c r="N31" s="1518"/>
      <c r="O31" s="1518"/>
    </row>
    <row r="32" spans="3:15">
      <c r="C32" s="1518"/>
      <c r="D32" s="1518"/>
      <c r="E32" s="1518"/>
      <c r="F32" s="1518"/>
      <c r="G32" s="1518"/>
      <c r="H32" s="1518"/>
      <c r="I32" s="1518"/>
      <c r="J32" s="1518"/>
      <c r="K32" s="1518"/>
      <c r="L32" s="1518"/>
      <c r="M32" s="1518"/>
      <c r="N32" s="1518"/>
      <c r="O32" s="1518"/>
    </row>
    <row r="33" spans="3:15" ht="6" customHeight="1"/>
    <row r="34" spans="3:15">
      <c r="C34" t="s">
        <v>251</v>
      </c>
    </row>
    <row r="35" spans="3:15" ht="6" customHeight="1"/>
    <row r="36" spans="3:15">
      <c r="C36" t="s">
        <v>734</v>
      </c>
    </row>
    <row r="37" spans="3:15" ht="6" customHeight="1"/>
    <row r="38" spans="3:15">
      <c r="C38" s="1518" t="s">
        <v>255</v>
      </c>
      <c r="D38" s="1518"/>
      <c r="E38" s="1518"/>
      <c r="F38" s="1518"/>
      <c r="G38" s="1518"/>
      <c r="H38" s="1518"/>
      <c r="I38" s="1518"/>
      <c r="J38" s="1518"/>
      <c r="K38" s="1518"/>
      <c r="L38" s="1518"/>
      <c r="M38" s="1518"/>
      <c r="N38" s="1518"/>
      <c r="O38" s="1518"/>
    </row>
    <row r="39" spans="3:15">
      <c r="C39" s="1518"/>
      <c r="D39" s="1518"/>
      <c r="E39" s="1518"/>
      <c r="F39" s="1518"/>
      <c r="G39" s="1518"/>
      <c r="H39" s="1518"/>
      <c r="I39" s="1518"/>
      <c r="J39" s="1518"/>
      <c r="K39" s="1518"/>
      <c r="L39" s="1518"/>
      <c r="M39" s="1518"/>
      <c r="N39" s="1518"/>
      <c r="O39" s="1518"/>
    </row>
    <row r="40" spans="3:15" ht="13" thickBot="1"/>
    <row r="41" spans="3:15" ht="13" thickTop="1">
      <c r="C41" s="781"/>
      <c r="D41" s="781" t="s">
        <v>1363</v>
      </c>
      <c r="E41" s="781" t="s">
        <v>1364</v>
      </c>
      <c r="F41" s="781" t="s">
        <v>1473</v>
      </c>
      <c r="G41" s="781" t="s">
        <v>1474</v>
      </c>
      <c r="H41" s="781" t="s">
        <v>1475</v>
      </c>
      <c r="I41" s="781" t="s">
        <v>1476</v>
      </c>
      <c r="J41" s="781" t="s">
        <v>497</v>
      </c>
      <c r="K41" s="781" t="s">
        <v>1511</v>
      </c>
      <c r="M41" s="1521" t="str">
        <f ca="1">OFFSET(ad_first,OFFSET(ads_top,ROW(ads_fn_IF)-1,3),0)</f>
        <v>Learn how to use iteration, goal-seeking, the solver and optimisation to solve problems that are too complex to solve in a single step.</v>
      </c>
      <c r="N41" s="1522"/>
      <c r="O41" s="1523"/>
    </row>
    <row r="42" spans="3:15">
      <c r="C42" s="781">
        <v>1</v>
      </c>
      <c r="D42" s="789"/>
      <c r="E42" s="789"/>
      <c r="F42" s="789"/>
      <c r="G42" s="789"/>
      <c r="H42" s="789"/>
      <c r="I42" s="789"/>
      <c r="J42" s="789"/>
      <c r="K42" s="789"/>
      <c r="M42" s="1524"/>
      <c r="N42" s="1525"/>
      <c r="O42" s="1526"/>
    </row>
    <row r="43" spans="3:15" ht="13" thickBot="1">
      <c r="C43" s="781">
        <f t="shared" ref="C43:C48" si="0">C42+1</f>
        <v>2</v>
      </c>
      <c r="D43" s="1011" t="s">
        <v>259</v>
      </c>
      <c r="E43" s="1011" t="s">
        <v>260</v>
      </c>
      <c r="F43" s="1010" t="s">
        <v>261</v>
      </c>
      <c r="G43" s="789"/>
      <c r="H43" s="789"/>
      <c r="I43" s="789"/>
      <c r="J43" s="789"/>
      <c r="K43" s="789"/>
      <c r="M43" s="1524"/>
      <c r="N43" s="1525"/>
      <c r="O43" s="1526"/>
    </row>
    <row r="44" spans="3:15" ht="13" thickBot="1">
      <c r="C44" s="783">
        <f t="shared" si="0"/>
        <v>3</v>
      </c>
      <c r="D44" s="1012">
        <v>7</v>
      </c>
      <c r="E44" s="786">
        <v>6</v>
      </c>
      <c r="F44" s="809" t="str">
        <f>IF(D44&gt;E44,"greater",IF(D44=E44,"equal","less"))</f>
        <v>greater</v>
      </c>
      <c r="G44" s="900" t="s">
        <v>252</v>
      </c>
      <c r="H44" s="789"/>
      <c r="I44" s="789"/>
      <c r="J44" s="789"/>
      <c r="K44" s="789"/>
      <c r="M44" s="1524"/>
      <c r="N44" s="1525"/>
      <c r="O44" s="1526"/>
    </row>
    <row r="45" spans="3:15" ht="13" thickBot="1">
      <c r="C45" s="781">
        <f t="shared" si="0"/>
        <v>4</v>
      </c>
      <c r="D45" s="795"/>
      <c r="E45" s="795"/>
      <c r="F45" s="789"/>
      <c r="G45" s="792"/>
      <c r="H45" s="789"/>
      <c r="I45" s="789"/>
      <c r="J45" s="789"/>
      <c r="K45" s="789"/>
      <c r="M45" s="1527"/>
      <c r="N45" s="1528"/>
      <c r="O45" s="1529"/>
    </row>
    <row r="46" spans="3:15" ht="13.5" thickTop="1" thickBot="1">
      <c r="C46" s="783">
        <f t="shared" si="0"/>
        <v>5</v>
      </c>
      <c r="D46" s="1012">
        <v>6</v>
      </c>
      <c r="E46" s="786">
        <v>6</v>
      </c>
      <c r="F46" s="809" t="str">
        <f>IF(D46&gt;E46,"greater",IF(D46=E46,"equal","less"))</f>
        <v>equal</v>
      </c>
      <c r="G46" s="900" t="s">
        <v>253</v>
      </c>
      <c r="H46" s="789"/>
      <c r="I46" s="789"/>
      <c r="J46" s="789"/>
      <c r="K46" s="789"/>
      <c r="M46" s="1310"/>
      <c r="N46" s="1311"/>
      <c r="O46" s="1311"/>
    </row>
    <row r="47" spans="3:15" ht="13" thickBot="1">
      <c r="C47" s="781">
        <f t="shared" si="0"/>
        <v>6</v>
      </c>
      <c r="D47" s="795"/>
      <c r="E47" s="795"/>
      <c r="F47" s="789"/>
      <c r="G47" s="789"/>
      <c r="H47" s="789"/>
      <c r="I47" s="789"/>
      <c r="J47" s="789"/>
      <c r="K47" s="789"/>
    </row>
    <row r="48" spans="3:15" ht="13" thickBot="1">
      <c r="C48" s="783">
        <f t="shared" si="0"/>
        <v>7</v>
      </c>
      <c r="D48" s="1012">
        <v>5</v>
      </c>
      <c r="E48" s="786">
        <v>6</v>
      </c>
      <c r="F48" s="809" t="str">
        <f>IF(D48&gt;E48,"greater",IF(D48=E48,"equal","less"))</f>
        <v>less</v>
      </c>
      <c r="G48" s="900" t="s">
        <v>254</v>
      </c>
      <c r="H48" s="789"/>
      <c r="I48" s="789"/>
      <c r="J48" s="789"/>
      <c r="K48" s="789"/>
    </row>
    <row r="49" spans="3:15"/>
    <row r="50" spans="3:15">
      <c r="C50" s="1518" t="s">
        <v>1122</v>
      </c>
      <c r="D50" s="1518"/>
      <c r="E50" s="1518"/>
      <c r="F50" s="1518"/>
      <c r="G50" s="1518"/>
      <c r="H50" s="1518"/>
      <c r="I50" s="1518"/>
      <c r="J50" s="1518"/>
      <c r="K50" s="1518"/>
      <c r="L50" s="1518"/>
      <c r="M50" s="1518"/>
      <c r="N50" s="1518"/>
      <c r="O50" s="1518"/>
    </row>
    <row r="51" spans="3:15">
      <c r="C51" s="1518"/>
      <c r="D51" s="1518"/>
      <c r="E51" s="1518"/>
      <c r="F51" s="1518"/>
      <c r="G51" s="1518"/>
      <c r="H51" s="1518"/>
      <c r="I51" s="1518"/>
      <c r="J51" s="1518"/>
      <c r="K51" s="1518"/>
      <c r="L51" s="1518"/>
      <c r="M51" s="1518"/>
      <c r="N51" s="1518"/>
      <c r="O51" s="1518"/>
    </row>
    <row r="52" spans="3:15">
      <c r="C52" s="1518"/>
      <c r="D52" s="1518"/>
      <c r="E52" s="1518"/>
      <c r="F52" s="1518"/>
      <c r="G52" s="1518"/>
      <c r="H52" s="1518"/>
      <c r="I52" s="1518"/>
      <c r="J52" s="1518"/>
      <c r="K52" s="1518"/>
      <c r="L52" s="1518"/>
      <c r="M52" s="1518"/>
      <c r="N52" s="1518"/>
      <c r="O52" s="1518"/>
    </row>
    <row r="53" spans="3:15" ht="4.5" customHeight="1"/>
    <row r="54" spans="3:15">
      <c r="C54" t="s">
        <v>1123</v>
      </c>
    </row>
    <row r="55" spans="3:15" ht="4.5" customHeight="1"/>
    <row r="56" spans="3:15">
      <c r="C56" t="s">
        <v>1124</v>
      </c>
    </row>
    <row r="57" spans="3:15"/>
    <row r="58" spans="3:15">
      <c r="C58" s="781"/>
      <c r="D58" s="781" t="s">
        <v>1363</v>
      </c>
      <c r="E58" s="781" t="s">
        <v>1364</v>
      </c>
      <c r="F58" s="781" t="s">
        <v>1473</v>
      </c>
      <c r="G58" s="781" t="s">
        <v>1474</v>
      </c>
      <c r="H58" s="781" t="s">
        <v>1475</v>
      </c>
      <c r="I58" s="781" t="s">
        <v>1476</v>
      </c>
      <c r="J58" s="781" t="s">
        <v>497</v>
      </c>
      <c r="K58" s="781" t="s">
        <v>1511</v>
      </c>
      <c r="L58" s="781" t="s">
        <v>1512</v>
      </c>
      <c r="M58" s="781" t="s">
        <v>1513</v>
      </c>
      <c r="N58" s="781" t="s">
        <v>1514</v>
      </c>
      <c r="O58" s="781" t="s">
        <v>1515</v>
      </c>
    </row>
    <row r="59" spans="3:15" ht="13" thickBot="1">
      <c r="C59" s="781">
        <v>1</v>
      </c>
      <c r="D59" s="1011" t="s">
        <v>259</v>
      </c>
      <c r="E59" s="1011" t="s">
        <v>260</v>
      </c>
      <c r="F59" s="789"/>
      <c r="G59" s="1010" t="s">
        <v>261</v>
      </c>
      <c r="H59" s="789"/>
      <c r="I59" s="789"/>
      <c r="J59" s="789"/>
      <c r="K59" s="789"/>
      <c r="L59" s="789"/>
      <c r="M59" s="789"/>
      <c r="N59" s="789"/>
      <c r="O59" s="789"/>
    </row>
    <row r="60" spans="3:15" ht="13" thickBot="1">
      <c r="C60" s="783">
        <f>C59+1</f>
        <v>2</v>
      </c>
      <c r="D60" s="1013">
        <v>7</v>
      </c>
      <c r="E60" s="1009">
        <v>6</v>
      </c>
      <c r="F60" s="788"/>
      <c r="G60" s="796" t="str">
        <f>IF(D60&gt;E60,"greater",IF(D60=E60,"equal","less"))</f>
        <v>greater</v>
      </c>
      <c r="H60" s="900" t="s">
        <v>735</v>
      </c>
      <c r="I60" s="789"/>
      <c r="J60" s="789"/>
      <c r="K60" s="789"/>
      <c r="L60" s="789"/>
      <c r="M60" s="789"/>
      <c r="N60" s="789"/>
      <c r="O60" s="789"/>
    </row>
    <row r="61" spans="3:15">
      <c r="C61" s="781">
        <f>C60+1</f>
        <v>3</v>
      </c>
      <c r="D61" s="790"/>
      <c r="E61" s="790"/>
      <c r="F61" s="789"/>
      <c r="G61" s="789"/>
      <c r="H61" s="789"/>
      <c r="I61" s="789"/>
      <c r="J61" s="789"/>
      <c r="K61" s="789"/>
      <c r="L61" s="789"/>
      <c r="M61" s="789"/>
      <c r="N61" s="789"/>
      <c r="O61" s="789"/>
    </row>
    <row r="62" spans="3:15">
      <c r="C62" s="781">
        <v>4</v>
      </c>
      <c r="D62" s="789"/>
      <c r="E62" s="789"/>
      <c r="F62" s="789"/>
      <c r="G62" s="789"/>
      <c r="H62" s="789"/>
      <c r="I62" s="789"/>
      <c r="J62" s="789"/>
      <c r="K62" s="789"/>
      <c r="L62" s="789"/>
      <c r="M62" s="789"/>
      <c r="N62" s="789"/>
      <c r="O62" s="789"/>
    </row>
    <row r="63" spans="3:15">
      <c r="C63" s="781">
        <v>5</v>
      </c>
      <c r="D63" s="789"/>
      <c r="E63" s="789"/>
      <c r="F63" s="789"/>
      <c r="G63" s="789"/>
      <c r="H63" s="789"/>
      <c r="I63" s="789"/>
      <c r="J63" s="789"/>
      <c r="K63" s="789"/>
      <c r="L63" s="789"/>
      <c r="M63" s="789"/>
      <c r="N63" s="789"/>
      <c r="O63" s="789"/>
    </row>
    <row r="64" spans="3:15">
      <c r="C64" s="781">
        <f>C63+1</f>
        <v>6</v>
      </c>
      <c r="D64" s="1710" t="str">
        <f>"Value 1 is " &amp; IF(D60&gt;E60,"greater than",IF(D60=E60,"equal to","less than")) &amp; " Value 2"</f>
        <v>Value 1 is greater than Value 2</v>
      </c>
      <c r="E64" s="1710"/>
      <c r="F64" s="1710"/>
      <c r="G64" s="900" t="s">
        <v>736</v>
      </c>
      <c r="H64" s="789"/>
      <c r="I64" s="789"/>
      <c r="J64" s="789"/>
      <c r="K64" s="789"/>
      <c r="L64" s="789"/>
      <c r="M64" s="789"/>
      <c r="N64" s="789"/>
      <c r="O64" s="789"/>
    </row>
    <row r="65" spans="3:15"/>
    <row r="66" spans="3:15">
      <c r="C66" s="1468" t="s">
        <v>1120</v>
      </c>
      <c r="D66" s="1468"/>
      <c r="E66" s="1468"/>
      <c r="F66" s="1468"/>
      <c r="G66" s="1468"/>
      <c r="H66" s="1468"/>
    </row>
    <row r="67" spans="3:15"/>
    <row r="68" spans="3:15">
      <c r="C68" s="1697" t="str">
        <f>back_to_index</f>
        <v>Back to contents</v>
      </c>
      <c r="D68" s="1697"/>
      <c r="G68" s="1674" t="str">
        <f>page_prefix &amp; page_fn_IF&amp; page_suffix</f>
        <v>- Page 27 -</v>
      </c>
      <c r="H68" s="1674"/>
      <c r="I68" s="1674"/>
      <c r="J68" s="1703"/>
      <c r="K68" s="1703"/>
      <c r="N68" s="1673" t="str">
        <f>back_to_top</f>
        <v>Back to top</v>
      </c>
      <c r="O68" s="1673"/>
    </row>
    <row r="69" spans="3:15">
      <c r="G69" s="1674" t="str">
        <f>copyright</f>
        <v>Copyright (c) 2009 Tykoh Group Pty Limited</v>
      </c>
      <c r="H69" s="1674"/>
      <c r="I69" s="1674"/>
      <c r="J69" s="1703"/>
      <c r="K69" s="1703"/>
    </row>
    <row r="70" spans="3:15">
      <c r="G70" s="1452" t="str">
        <f>home_address</f>
        <v>www.tykoh.com</v>
      </c>
      <c r="H70" s="1452"/>
      <c r="I70" s="1452"/>
      <c r="J70" s="1452"/>
      <c r="K70" s="1452"/>
    </row>
    <row r="71" spans="3:15"/>
  </sheetData>
  <sheetProtection algorithmName="SHA-512" hashValue="8JuB82Mr18SDs0iHciio6CDSiDd/c1V8/iNYOxb4r+jRR57Mzghkyv5PaoDNyy/za+QOR3Gp4sHEu2tiHD9b0w==" saltValue="K4DomdOTnVsfo2KV50S8rA==" spinCount="100000" sheet="1" objects="1" scenarios="1"/>
  <mergeCells count="18">
    <mergeCell ref="C5:K7"/>
    <mergeCell ref="N68:O68"/>
    <mergeCell ref="C11:O11"/>
    <mergeCell ref="M4:O8"/>
    <mergeCell ref="M41:O45"/>
    <mergeCell ref="M21:O25"/>
    <mergeCell ref="C9:I9"/>
    <mergeCell ref="C66:H66"/>
    <mergeCell ref="G70:K70"/>
    <mergeCell ref="D16:E16"/>
    <mergeCell ref="C68:D68"/>
    <mergeCell ref="G68:K68"/>
    <mergeCell ref="G69:K69"/>
    <mergeCell ref="C50:O52"/>
    <mergeCell ref="D64:F64"/>
    <mergeCell ref="D26:E26"/>
    <mergeCell ref="C31:O32"/>
    <mergeCell ref="C38:O39"/>
  </mergeCells>
  <phoneticPr fontId="2" type="noConversion"/>
  <dataValidations count="1">
    <dataValidation type="list" allowBlank="1" showInputMessage="1" showErrorMessage="1" sqref="D60:E60 D22 F22" xr:uid="{00000000-0002-0000-2700-000000000000}">
      <formula1>"5,6,7"</formula1>
    </dataValidation>
  </dataValidations>
  <hyperlinks>
    <hyperlink ref="C9:I9" location="hh_AND_logical" display="[For more information about logical tests and conditions click here.]" xr:uid="{00000000-0004-0000-2700-000000000000}"/>
    <hyperlink ref="C66:H66" location="hh_Ex_1" display="[To carry out an exercise on compound IFs click here.]" xr:uid="{00000000-0004-0000-2700-000001000000}"/>
    <hyperlink ref="N68:O68" location="hh_fn_IF" display="hh_fn_IF" xr:uid="{00000000-0004-0000-2700-000002000000}"/>
    <hyperlink ref="C68:D68" location="hh_index" display="hh_index" xr:uid="{00000000-0004-0000-2700-000003000000}"/>
    <hyperlink ref="G70:K70" r:id="rId1" display="https://www.tykoh.com/" xr:uid="{00000000-0004-0000-2700-000004000000}"/>
  </hyperlinks>
  <pageMargins left="0.75" right="0.75" top="1" bottom="1" header="0.5" footer="0.5"/>
  <pageSetup scale="74" orientation="portrait" r:id="rId2"/>
  <headerFooter alignWithMargins="0"/>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1">
    <pageSetUpPr fitToPage="1"/>
  </sheetPr>
  <dimension ref="C1:O68"/>
  <sheetViews>
    <sheetView showGridLines="0" showRowColHeaders="0" topLeftCell="A49" workbookViewId="0">
      <selection activeCell="G67" sqref="G67:K67"/>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1335</v>
      </c>
    </row>
    <row r="4" spans="3:15" ht="13.5" customHeight="1" thickTop="1">
      <c r="M4" s="1521" t="str">
        <f ca="1">OFFSET(ad_first,OFFSET(ads_top,ROW(ads_fn_ISNA)-1,1),0)</f>
        <v>Exercises in our spreadsheet skills and modelling courses give you instant feedback of your progress.</v>
      </c>
      <c r="N4" s="1522"/>
      <c r="O4" s="1523"/>
    </row>
    <row r="5" spans="3:15">
      <c r="C5" s="1585" t="s">
        <v>241</v>
      </c>
      <c r="D5" s="1585"/>
      <c r="E5" s="1585"/>
      <c r="F5" s="1585"/>
      <c r="G5" s="1585"/>
      <c r="H5" s="1585"/>
      <c r="I5" s="1585"/>
      <c r="J5" s="1585"/>
      <c r="K5" s="1585"/>
      <c r="L5" s="1585"/>
      <c r="M5" s="1524"/>
      <c r="N5" s="1525"/>
      <c r="O5" s="1526"/>
    </row>
    <row r="6" spans="3:15">
      <c r="C6" s="1585"/>
      <c r="D6" s="1585"/>
      <c r="E6" s="1585"/>
      <c r="F6" s="1585"/>
      <c r="G6" s="1585"/>
      <c r="H6" s="1585"/>
      <c r="I6" s="1585"/>
      <c r="J6" s="1585"/>
      <c r="K6" s="1585"/>
      <c r="L6" s="1585"/>
      <c r="M6" s="1524"/>
      <c r="N6" s="1525"/>
      <c r="O6" s="1526"/>
    </row>
    <row r="7" spans="3:15">
      <c r="C7" s="1585"/>
      <c r="D7" s="1585"/>
      <c r="E7" s="1585"/>
      <c r="F7" s="1585"/>
      <c r="G7" s="1585"/>
      <c r="H7" s="1585"/>
      <c r="I7" s="1585"/>
      <c r="J7" s="1585"/>
      <c r="K7" s="1585"/>
      <c r="L7" s="1585"/>
      <c r="M7" s="1524"/>
      <c r="N7" s="1525"/>
      <c r="O7" s="1526"/>
    </row>
    <row r="8" spans="3:15" ht="13" thickBot="1">
      <c r="C8" s="263"/>
      <c r="D8" s="263"/>
      <c r="E8" s="263"/>
      <c r="F8" s="263"/>
      <c r="G8" s="263"/>
      <c r="H8" s="263"/>
      <c r="I8" s="263"/>
      <c r="J8" s="263"/>
      <c r="K8" s="263"/>
      <c r="L8" s="263"/>
      <c r="M8" s="1527"/>
      <c r="N8" s="1528"/>
      <c r="O8" s="1529"/>
    </row>
    <row r="9" spans="3:15" ht="13" thickTop="1">
      <c r="C9" s="1585" t="s">
        <v>434</v>
      </c>
      <c r="D9" s="1518"/>
      <c r="E9" s="1518"/>
      <c r="F9" s="1518"/>
      <c r="G9" s="1518"/>
      <c r="H9" s="1518"/>
      <c r="I9" s="1518"/>
      <c r="J9" s="1518"/>
      <c r="K9" s="1518"/>
      <c r="L9" s="1518"/>
      <c r="M9" s="1310"/>
      <c r="N9" s="1311"/>
      <c r="O9" s="1311"/>
    </row>
    <row r="10" spans="3:15">
      <c r="C10" s="1585"/>
      <c r="D10" s="1518"/>
      <c r="E10" s="1518"/>
      <c r="F10" s="1518"/>
      <c r="G10" s="1518"/>
      <c r="H10" s="1518"/>
      <c r="I10" s="1518"/>
      <c r="J10" s="1518"/>
      <c r="K10" s="1518"/>
      <c r="L10" s="1518"/>
      <c r="M10" s="1163"/>
      <c r="N10" s="1164"/>
      <c r="O10" s="1164"/>
    </row>
    <row r="11" spans="3:15">
      <c r="C11" s="1518"/>
      <c r="D11" s="1518"/>
      <c r="E11" s="1518"/>
      <c r="F11" s="1518"/>
      <c r="G11" s="1518"/>
      <c r="H11" s="1518"/>
      <c r="I11" s="1518"/>
      <c r="J11" s="1518"/>
      <c r="K11" s="1518"/>
      <c r="L11" s="1518"/>
      <c r="M11" s="1163"/>
      <c r="N11" s="1164"/>
      <c r="O11" s="1164"/>
    </row>
    <row r="12" spans="3:15" ht="6" customHeight="1">
      <c r="O12" s="33"/>
    </row>
    <row r="13" spans="3:15">
      <c r="C13" s="1585" t="s">
        <v>242</v>
      </c>
      <c r="D13" s="1518"/>
      <c r="E13" s="1518"/>
      <c r="F13" s="1518"/>
      <c r="G13" s="1518"/>
      <c r="H13" s="1518"/>
      <c r="I13" s="1518"/>
      <c r="J13" s="1518"/>
      <c r="K13" s="1518"/>
      <c r="L13" s="1518"/>
      <c r="M13" s="1518"/>
      <c r="N13" s="1518"/>
      <c r="O13" s="1518"/>
    </row>
    <row r="14" spans="3:15" ht="6" customHeight="1"/>
    <row r="15" spans="3:15">
      <c r="C15" s="1585" t="s">
        <v>435</v>
      </c>
      <c r="D15" s="1585"/>
      <c r="E15" s="1585"/>
      <c r="F15" s="1585"/>
      <c r="G15" s="1585"/>
      <c r="H15" s="1585"/>
      <c r="I15" s="1585"/>
      <c r="J15" s="1585"/>
      <c r="K15" s="1585"/>
      <c r="L15" s="1585"/>
      <c r="M15" s="1585"/>
      <c r="N15" s="1585"/>
      <c r="O15" s="1585"/>
    </row>
    <row r="16" spans="3:15">
      <c r="C16" s="1585"/>
      <c r="D16" s="1585"/>
      <c r="E16" s="1585"/>
      <c r="F16" s="1585"/>
      <c r="G16" s="1585"/>
      <c r="H16" s="1585"/>
      <c r="I16" s="1585"/>
      <c r="J16" s="1585"/>
      <c r="K16" s="1585"/>
      <c r="L16" s="1585"/>
      <c r="M16" s="1585"/>
      <c r="N16" s="1585"/>
      <c r="O16" s="1585"/>
    </row>
    <row r="17" spans="3:15">
      <c r="C17" s="1585"/>
      <c r="D17" s="1585"/>
      <c r="E17" s="1585"/>
      <c r="F17" s="1585"/>
      <c r="G17" s="1585"/>
      <c r="H17" s="1585"/>
      <c r="I17" s="1585"/>
      <c r="J17" s="1585"/>
      <c r="K17" s="1585"/>
      <c r="L17" s="1585"/>
      <c r="M17" s="1585"/>
      <c r="N17" s="1585"/>
      <c r="O17" s="1585"/>
    </row>
    <row r="18" spans="3:15">
      <c r="C18" s="1585"/>
      <c r="D18" s="1585"/>
      <c r="E18" s="1585"/>
      <c r="F18" s="1585"/>
      <c r="G18" s="1585"/>
      <c r="H18" s="1585"/>
      <c r="I18" s="1585"/>
      <c r="J18" s="1585"/>
      <c r="K18" s="1585"/>
      <c r="L18" s="1585"/>
      <c r="M18" s="1585"/>
      <c r="N18" s="1585"/>
      <c r="O18" s="1585"/>
    </row>
    <row r="19" spans="3:15">
      <c r="C19" s="1585"/>
      <c r="D19" s="1585"/>
      <c r="E19" s="1585"/>
      <c r="F19" s="1585"/>
      <c r="G19" s="1585"/>
      <c r="H19" s="1585"/>
      <c r="I19" s="1585"/>
      <c r="J19" s="1585"/>
      <c r="K19" s="1585"/>
      <c r="L19" s="1585"/>
      <c r="M19" s="1585"/>
      <c r="N19" s="1585"/>
      <c r="O19" s="1585"/>
    </row>
    <row r="20" spans="3:15" ht="6" customHeight="1"/>
    <row r="21" spans="3:15">
      <c r="C21" s="32" t="s">
        <v>243</v>
      </c>
      <c r="H21" s="1131" t="s">
        <v>111</v>
      </c>
      <c r="I21" s="32" t="s">
        <v>244</v>
      </c>
    </row>
    <row r="22" spans="3:15" ht="6" customHeight="1">
      <c r="O22" s="33"/>
    </row>
    <row r="23" spans="3:15">
      <c r="C23" s="857"/>
      <c r="D23" s="857" t="s">
        <v>1363</v>
      </c>
      <c r="E23" s="857" t="s">
        <v>1364</v>
      </c>
      <c r="F23" s="857" t="s">
        <v>1473</v>
      </c>
      <c r="G23" s="857" t="s">
        <v>1474</v>
      </c>
      <c r="H23" s="857" t="s">
        <v>1475</v>
      </c>
      <c r="I23" s="857" t="s">
        <v>1476</v>
      </c>
      <c r="J23" s="857" t="s">
        <v>497</v>
      </c>
      <c r="K23" s="857" t="s">
        <v>1511</v>
      </c>
      <c r="L23" s="857" t="s">
        <v>1512</v>
      </c>
      <c r="M23" s="857" t="s">
        <v>1513</v>
      </c>
      <c r="N23" s="857" t="s">
        <v>1514</v>
      </c>
      <c r="O23" s="74"/>
    </row>
    <row r="24" spans="3:15" s="343" customFormat="1" ht="25.5" thickBot="1">
      <c r="C24" s="857">
        <v>1</v>
      </c>
      <c r="D24" s="1111" t="s">
        <v>895</v>
      </c>
      <c r="E24" s="1111" t="s">
        <v>471</v>
      </c>
      <c r="F24" s="808"/>
      <c r="G24" s="808"/>
      <c r="H24" s="808"/>
      <c r="I24" s="808"/>
      <c r="J24" s="1157" t="s">
        <v>236</v>
      </c>
      <c r="K24" s="808"/>
      <c r="L24" s="808"/>
      <c r="M24" s="948" t="s">
        <v>895</v>
      </c>
      <c r="N24" s="1112" t="s">
        <v>471</v>
      </c>
      <c r="O24" s="362"/>
    </row>
    <row r="25" spans="3:15" ht="13" thickBot="1">
      <c r="C25" s="949">
        <v>2</v>
      </c>
      <c r="D25" s="1053" t="s">
        <v>1363</v>
      </c>
      <c r="E25" s="1159">
        <f>VLOOKUP(D25,M25:N29,2,FALSE)</f>
        <v>350</v>
      </c>
      <c r="F25" s="1110" t="s">
        <v>239</v>
      </c>
      <c r="G25" s="791"/>
      <c r="H25" s="791"/>
      <c r="I25" s="791"/>
      <c r="J25" s="791" t="b">
        <f>ISNA(E25)</f>
        <v>0</v>
      </c>
      <c r="K25" s="900" t="s">
        <v>237</v>
      </c>
      <c r="L25" s="1018"/>
      <c r="M25" s="1104" t="s">
        <v>1363</v>
      </c>
      <c r="N25" s="1105">
        <v>350</v>
      </c>
      <c r="O25" s="33"/>
    </row>
    <row r="26" spans="3:15" ht="13" thickBot="1">
      <c r="C26" s="857">
        <v>3</v>
      </c>
      <c r="D26" s="957"/>
      <c r="E26" s="1158"/>
      <c r="F26" s="791"/>
      <c r="G26" s="791"/>
      <c r="H26" s="791"/>
      <c r="I26" s="791"/>
      <c r="J26" s="791"/>
      <c r="K26" s="791"/>
      <c r="L26" s="1018"/>
      <c r="M26" s="1103" t="s">
        <v>1474</v>
      </c>
      <c r="N26" s="1106">
        <v>120</v>
      </c>
      <c r="O26" s="33"/>
    </row>
    <row r="27" spans="3:15" ht="13" thickBot="1">
      <c r="C27" s="949">
        <v>4</v>
      </c>
      <c r="D27" s="1160" t="s">
        <v>1473</v>
      </c>
      <c r="E27" s="1062" t="e">
        <f>VLOOKUP(D27,M25:N29,2,FALSE)</f>
        <v>#N/A</v>
      </c>
      <c r="F27" s="1027" t="s">
        <v>240</v>
      </c>
      <c r="G27" s="791"/>
      <c r="H27" s="791"/>
      <c r="I27" s="791"/>
      <c r="J27" s="791" t="b">
        <f>ISNA(E27)</f>
        <v>1</v>
      </c>
      <c r="K27" s="900" t="s">
        <v>238</v>
      </c>
      <c r="L27" s="1018"/>
      <c r="M27" s="1103" t="s">
        <v>1476</v>
      </c>
      <c r="N27" s="1106">
        <v>200</v>
      </c>
      <c r="O27" s="33"/>
    </row>
    <row r="28" spans="3:15">
      <c r="C28" s="857">
        <v>5</v>
      </c>
      <c r="D28" s="963"/>
      <c r="E28" s="963"/>
      <c r="F28" s="791"/>
      <c r="G28" s="791"/>
      <c r="H28" s="791"/>
      <c r="I28" s="791"/>
      <c r="J28" s="791"/>
      <c r="K28" s="791"/>
      <c r="L28" s="1018"/>
      <c r="M28" s="1103" t="s">
        <v>497</v>
      </c>
      <c r="N28" s="1106">
        <v>12</v>
      </c>
      <c r="O28" s="33"/>
    </row>
    <row r="29" spans="3:15" ht="13" thickBot="1">
      <c r="C29" s="857">
        <v>6</v>
      </c>
      <c r="D29" s="1709" t="str">
        <f>IF(ISNA(E27),"Lookup failed " &amp; D27 &amp;" doesn't exist", E27)</f>
        <v>Lookup failed C doesn't exist</v>
      </c>
      <c r="E29" s="1709"/>
      <c r="F29" s="1709"/>
      <c r="G29" s="900" t="s">
        <v>1162</v>
      </c>
      <c r="H29" s="791"/>
      <c r="I29" s="791"/>
      <c r="J29" s="791"/>
      <c r="K29" s="791"/>
      <c r="L29" s="1018"/>
      <c r="M29" s="1107" t="s">
        <v>1511</v>
      </c>
      <c r="N29" s="1109">
        <v>6</v>
      </c>
      <c r="O29" s="33"/>
    </row>
    <row r="30" spans="3:15">
      <c r="C30" s="857">
        <v>7</v>
      </c>
      <c r="D30" s="791"/>
      <c r="E30" s="791"/>
      <c r="F30" s="791"/>
      <c r="G30" s="791"/>
      <c r="H30" s="791"/>
      <c r="I30" s="791"/>
      <c r="J30" s="857"/>
      <c r="K30" s="791"/>
      <c r="L30" s="791"/>
      <c r="M30" s="963"/>
      <c r="N30" s="963"/>
      <c r="O30" s="33"/>
    </row>
    <row r="31" spans="3:15">
      <c r="O31" s="33"/>
    </row>
    <row r="32" spans="3:15">
      <c r="C32" s="1585" t="s">
        <v>245</v>
      </c>
      <c r="D32" s="1585"/>
      <c r="E32" s="1585"/>
      <c r="F32" s="1585"/>
      <c r="G32" s="1585"/>
      <c r="H32" s="1585"/>
      <c r="I32" s="1585"/>
      <c r="J32" s="1585"/>
      <c r="K32" s="1585"/>
      <c r="L32" s="1585"/>
      <c r="M32" s="1585"/>
      <c r="N32" s="1585"/>
      <c r="O32" s="1585"/>
    </row>
    <row r="33" spans="3:15">
      <c r="C33" s="1585"/>
      <c r="D33" s="1585"/>
      <c r="E33" s="1585"/>
      <c r="F33" s="1585"/>
      <c r="G33" s="1585"/>
      <c r="H33" s="1585"/>
      <c r="I33" s="1585"/>
      <c r="J33" s="1585"/>
      <c r="K33" s="1585"/>
      <c r="L33" s="1585"/>
      <c r="M33" s="1585"/>
      <c r="N33" s="1585"/>
      <c r="O33" s="1585"/>
    </row>
    <row r="34" spans="3:15">
      <c r="C34" s="1585"/>
      <c r="D34" s="1585"/>
      <c r="E34" s="1585"/>
      <c r="F34" s="1585"/>
      <c r="G34" s="1585"/>
      <c r="H34" s="1585"/>
      <c r="I34" s="1585"/>
      <c r="J34" s="1585"/>
      <c r="K34" s="1585"/>
      <c r="L34" s="1585"/>
      <c r="M34" s="1585"/>
      <c r="N34" s="1585"/>
      <c r="O34" s="1585"/>
    </row>
    <row r="35" spans="3:15" ht="13.5" customHeight="1">
      <c r="C35" s="1585" t="s">
        <v>855</v>
      </c>
      <c r="D35" s="1585"/>
      <c r="E35" s="1585"/>
      <c r="F35" s="1585"/>
      <c r="G35" s="1585"/>
      <c r="H35" s="1585"/>
      <c r="I35" s="1585"/>
      <c r="J35" s="1585"/>
      <c r="K35" s="1585"/>
      <c r="L35" s="1585"/>
      <c r="M35" s="1585"/>
      <c r="N35" s="1585"/>
      <c r="O35" s="1585"/>
    </row>
    <row r="36" spans="3:15">
      <c r="C36" s="1585"/>
      <c r="D36" s="1585"/>
      <c r="E36" s="1585"/>
      <c r="F36" s="1585"/>
      <c r="G36" s="1585"/>
      <c r="H36" s="1585"/>
      <c r="I36" s="1585"/>
      <c r="J36" s="1585"/>
      <c r="K36" s="1585"/>
      <c r="L36" s="1585"/>
      <c r="M36" s="1585"/>
      <c r="N36" s="1585"/>
      <c r="O36" s="1585"/>
    </row>
    <row r="37" spans="3:15">
      <c r="C37" s="263"/>
      <c r="D37" s="263"/>
      <c r="E37" s="263"/>
      <c r="F37" s="263"/>
      <c r="G37" s="263"/>
      <c r="H37" s="263"/>
      <c r="I37" s="263"/>
      <c r="J37" s="263"/>
      <c r="K37" s="263"/>
      <c r="L37" s="263"/>
      <c r="M37" s="263"/>
      <c r="N37" s="263"/>
      <c r="O37" s="263"/>
    </row>
    <row r="38" spans="3:15">
      <c r="C38" s="1585" t="s">
        <v>1161</v>
      </c>
      <c r="D38" s="1585"/>
      <c r="E38" s="1585"/>
      <c r="F38" s="1585"/>
      <c r="G38" s="1585"/>
      <c r="H38" s="1585"/>
      <c r="I38" s="1585"/>
      <c r="J38" s="1585"/>
      <c r="K38" s="1585"/>
      <c r="L38" s="1585"/>
      <c r="M38" s="1585"/>
      <c r="N38" s="1585"/>
      <c r="O38" s="1585"/>
    </row>
    <row r="39" spans="3:15">
      <c r="C39" s="1585"/>
      <c r="D39" s="1585"/>
      <c r="E39" s="1585"/>
      <c r="F39" s="1585"/>
      <c r="G39" s="1585"/>
      <c r="H39" s="1585"/>
      <c r="I39" s="1585"/>
      <c r="J39" s="1585"/>
      <c r="K39" s="1585"/>
      <c r="L39" s="1585"/>
      <c r="M39" s="1585"/>
      <c r="N39" s="1585"/>
      <c r="O39" s="1585"/>
    </row>
    <row r="40" spans="3:15">
      <c r="C40" s="1585"/>
      <c r="D40" s="1585"/>
      <c r="E40" s="1585"/>
      <c r="F40" s="1585"/>
      <c r="G40" s="1585"/>
      <c r="H40" s="1585"/>
      <c r="I40" s="1585"/>
      <c r="J40" s="1585"/>
      <c r="K40" s="1585"/>
      <c r="L40" s="1585"/>
      <c r="M40" s="1585"/>
      <c r="N40" s="1585"/>
      <c r="O40" s="1585"/>
    </row>
    <row r="41" spans="3:15"/>
    <row r="42" spans="3:15">
      <c r="C42" s="1585" t="s">
        <v>1285</v>
      </c>
      <c r="D42" s="1585"/>
      <c r="E42" s="1585"/>
      <c r="F42" s="1585"/>
      <c r="G42" s="1585"/>
      <c r="H42" s="1585"/>
      <c r="I42" s="1585"/>
      <c r="J42" s="1585"/>
      <c r="K42" s="1585"/>
      <c r="L42" s="1585"/>
      <c r="M42" s="1585"/>
      <c r="N42" s="1585"/>
      <c r="O42" s="1585"/>
    </row>
    <row r="43" spans="3:15" ht="13" thickBot="1">
      <c r="C43" s="1585"/>
      <c r="D43" s="1585"/>
      <c r="E43" s="1585"/>
      <c r="F43" s="1585"/>
      <c r="G43" s="1585"/>
      <c r="H43" s="1585"/>
      <c r="I43" s="1585"/>
      <c r="J43" s="1585"/>
      <c r="K43" s="1585"/>
      <c r="L43" s="1585"/>
      <c r="M43" s="1585"/>
      <c r="N43" s="1585"/>
      <c r="O43" s="1585"/>
    </row>
    <row r="44" spans="3:15" ht="13" thickTop="1">
      <c r="M44" s="1521" t="str">
        <f ca="1">OFFSET(ad_first,OFFSET(ads_top,ROW(ads_fn_ISNA)-1,2),0)</f>
        <v>Attend one of our workshops and learn how to use a wide range of spreadsheet functions in practical finance settings</v>
      </c>
      <c r="N44" s="1522"/>
      <c r="O44" s="1523"/>
    </row>
    <row r="45" spans="3:15" ht="13">
      <c r="C45" s="772" t="s">
        <v>1286</v>
      </c>
      <c r="M45" s="1524"/>
      <c r="N45" s="1525"/>
      <c r="O45" s="1526"/>
    </row>
    <row r="46" spans="3:15">
      <c r="M46" s="1524"/>
      <c r="N46" s="1525"/>
      <c r="O46" s="1526"/>
    </row>
    <row r="47" spans="3:15">
      <c r="C47" s="1585" t="s">
        <v>1287</v>
      </c>
      <c r="D47" s="1585"/>
      <c r="E47" s="1585"/>
      <c r="F47" s="1585"/>
      <c r="G47" s="1585"/>
      <c r="H47" s="1585"/>
      <c r="I47" s="1585"/>
      <c r="J47" s="1585"/>
      <c r="K47" s="1585"/>
      <c r="L47" s="1585"/>
      <c r="M47" s="1524"/>
      <c r="N47" s="1525"/>
      <c r="O47" s="1526"/>
    </row>
    <row r="48" spans="3:15" ht="13" thickBot="1">
      <c r="C48" s="1585"/>
      <c r="D48" s="1585"/>
      <c r="E48" s="1585"/>
      <c r="F48" s="1585"/>
      <c r="G48" s="1585"/>
      <c r="H48" s="1585"/>
      <c r="I48" s="1585"/>
      <c r="J48" s="1585"/>
      <c r="K48" s="1585"/>
      <c r="L48" s="1585"/>
      <c r="M48" s="1527"/>
      <c r="N48" s="1528"/>
      <c r="O48" s="1529"/>
    </row>
    <row r="49" spans="3:15" ht="13" thickTop="1">
      <c r="C49" s="263"/>
      <c r="D49" s="263"/>
      <c r="E49" s="263"/>
      <c r="F49" s="263"/>
      <c r="G49" s="263"/>
      <c r="H49" s="263"/>
      <c r="I49" s="263"/>
      <c r="J49" s="263"/>
      <c r="K49" s="263"/>
      <c r="L49" s="263"/>
      <c r="M49" s="1310"/>
      <c r="N49" s="1311"/>
      <c r="O49" s="1311"/>
    </row>
    <row r="50" spans="3:15"/>
    <row r="51" spans="3:15">
      <c r="C51" s="857"/>
      <c r="D51" s="857" t="s">
        <v>1363</v>
      </c>
      <c r="E51" s="857" t="s">
        <v>1364</v>
      </c>
      <c r="F51" s="857" t="s">
        <v>1473</v>
      </c>
      <c r="G51" s="857" t="s">
        <v>1474</v>
      </c>
      <c r="H51" s="857" t="s">
        <v>1475</v>
      </c>
      <c r="I51" s="857" t="s">
        <v>1476</v>
      </c>
      <c r="J51" s="857" t="s">
        <v>497</v>
      </c>
      <c r="K51" s="857" t="s">
        <v>1511</v>
      </c>
      <c r="L51" s="857" t="s">
        <v>1512</v>
      </c>
      <c r="M51" s="857" t="s">
        <v>1513</v>
      </c>
      <c r="N51" s="857" t="s">
        <v>1514</v>
      </c>
    </row>
    <row r="52" spans="3:15" ht="13" thickBot="1">
      <c r="C52" s="857">
        <v>1</v>
      </c>
      <c r="D52" s="791"/>
      <c r="E52" s="791"/>
      <c r="F52" s="791"/>
      <c r="G52" s="791"/>
      <c r="H52" s="791"/>
      <c r="I52" s="791"/>
      <c r="J52" s="948" t="s">
        <v>895</v>
      </c>
      <c r="K52" s="1112" t="s">
        <v>471</v>
      </c>
      <c r="L52" s="1111" t="s">
        <v>896</v>
      </c>
      <c r="M52" s="791"/>
      <c r="N52" s="791"/>
    </row>
    <row r="53" spans="3:15">
      <c r="C53" s="857">
        <v>2</v>
      </c>
      <c r="D53" s="791"/>
      <c r="E53" s="791"/>
      <c r="F53" s="791"/>
      <c r="G53" s="791"/>
      <c r="H53" s="791"/>
      <c r="I53" s="1018"/>
      <c r="J53" s="1104" t="s">
        <v>1363</v>
      </c>
      <c r="K53" s="1102">
        <v>350</v>
      </c>
      <c r="L53" s="1105" t="s">
        <v>897</v>
      </c>
      <c r="M53" s="809"/>
      <c r="N53" s="791"/>
    </row>
    <row r="54" spans="3:15">
      <c r="C54" s="857">
        <v>3</v>
      </c>
      <c r="D54" s="791"/>
      <c r="E54" s="791"/>
      <c r="F54" s="791"/>
      <c r="G54" s="791"/>
      <c r="H54" s="791"/>
      <c r="I54" s="1018"/>
      <c r="J54" s="1103" t="s">
        <v>1474</v>
      </c>
      <c r="K54" s="791">
        <v>120</v>
      </c>
      <c r="L54" s="1106" t="s">
        <v>898</v>
      </c>
      <c r="M54" s="809"/>
      <c r="N54" s="791"/>
    </row>
    <row r="55" spans="3:15" ht="13" thickBot="1">
      <c r="C55" s="857">
        <v>4</v>
      </c>
      <c r="D55" s="791"/>
      <c r="E55" s="958"/>
      <c r="F55" s="791"/>
      <c r="G55" s="791"/>
      <c r="H55" s="791"/>
      <c r="I55" s="1018"/>
      <c r="J55" s="1103" t="s">
        <v>1476</v>
      </c>
      <c r="K55" s="791">
        <v>200</v>
      </c>
      <c r="L55" s="1106" t="s">
        <v>899</v>
      </c>
      <c r="M55" s="809"/>
      <c r="N55" s="791"/>
    </row>
    <row r="56" spans="3:15" ht="13" thickBot="1">
      <c r="C56" s="857">
        <v>5</v>
      </c>
      <c r="D56" s="1018" t="s">
        <v>902</v>
      </c>
      <c r="E56" s="979" t="s">
        <v>1363</v>
      </c>
      <c r="F56" s="809"/>
      <c r="G56" s="791"/>
      <c r="H56" s="791"/>
      <c r="I56" s="1018"/>
      <c r="J56" s="1103" t="s">
        <v>497</v>
      </c>
      <c r="K56" s="791">
        <v>12</v>
      </c>
      <c r="L56" s="1106" t="s">
        <v>900</v>
      </c>
      <c r="M56" s="809"/>
      <c r="N56" s="791"/>
    </row>
    <row r="57" spans="3:15" ht="13" thickBot="1">
      <c r="C57" s="857">
        <v>6</v>
      </c>
      <c r="D57" s="791"/>
      <c r="E57" s="963"/>
      <c r="F57" s="791"/>
      <c r="G57" s="791"/>
      <c r="H57" s="791"/>
      <c r="I57" s="1018"/>
      <c r="J57" s="1107" t="s">
        <v>1511</v>
      </c>
      <c r="K57" s="1108">
        <v>6</v>
      </c>
      <c r="L57" s="1109" t="s">
        <v>901</v>
      </c>
      <c r="M57" s="809"/>
      <c r="N57" s="791"/>
    </row>
    <row r="58" spans="3:15">
      <c r="C58" s="857">
        <v>7</v>
      </c>
      <c r="D58" s="791"/>
      <c r="E58" s="791"/>
      <c r="F58" s="791"/>
      <c r="G58" s="791"/>
      <c r="H58" s="791"/>
      <c r="I58" s="791"/>
      <c r="J58" s="963"/>
      <c r="K58" s="963"/>
      <c r="L58" s="963"/>
      <c r="M58" s="791"/>
      <c r="N58" s="791"/>
    </row>
    <row r="59" spans="3:15">
      <c r="C59" s="857">
        <v>8</v>
      </c>
      <c r="D59" s="791" t="s">
        <v>472</v>
      </c>
      <c r="E59" s="796">
        <f>IF(ISNA(VLOOKUP(E56,J53:L57,2,FALSE)),"no match", VLOOKUP(E56,J53:L57,2,FALSE))</f>
        <v>350</v>
      </c>
      <c r="F59" s="900" t="s">
        <v>235</v>
      </c>
      <c r="G59" s="791"/>
      <c r="H59" s="791"/>
      <c r="I59" s="791"/>
      <c r="J59" s="791"/>
      <c r="K59" s="791"/>
      <c r="L59" s="791"/>
      <c r="M59" s="791"/>
      <c r="N59" s="791"/>
    </row>
    <row r="60" spans="3:15"/>
    <row r="61" spans="3:15">
      <c r="C61" s="1585" t="s">
        <v>1288</v>
      </c>
      <c r="D61" s="1585"/>
      <c r="E61" s="1585"/>
      <c r="F61" s="1585"/>
      <c r="G61" s="1585"/>
      <c r="H61" s="1585"/>
      <c r="I61" s="1585"/>
      <c r="J61" s="1585"/>
      <c r="K61" s="1585"/>
      <c r="L61" s="1585"/>
      <c r="M61" s="1585"/>
      <c r="N61" s="1585"/>
      <c r="O61" s="1585"/>
    </row>
    <row r="62" spans="3:15">
      <c r="C62" s="1585"/>
      <c r="D62" s="1585"/>
      <c r="E62" s="1585"/>
      <c r="F62" s="1585"/>
      <c r="G62" s="1585"/>
      <c r="H62" s="1585"/>
      <c r="I62" s="1585"/>
      <c r="J62" s="1585"/>
      <c r="K62" s="1585"/>
      <c r="L62" s="1585"/>
      <c r="M62" s="1585"/>
      <c r="N62" s="1585"/>
      <c r="O62" s="1585"/>
    </row>
    <row r="63" spans="3:15">
      <c r="C63" s="1585"/>
      <c r="D63" s="1585"/>
      <c r="E63" s="1585"/>
      <c r="F63" s="1585"/>
      <c r="G63" s="1585"/>
      <c r="H63" s="1585"/>
      <c r="I63" s="1585"/>
      <c r="J63" s="1585"/>
      <c r="K63" s="1585"/>
      <c r="L63" s="1585"/>
      <c r="M63" s="1585"/>
      <c r="N63" s="1585"/>
      <c r="O63" s="1585"/>
    </row>
    <row r="64" spans="3:15"/>
    <row r="65" spans="3:15">
      <c r="C65" s="1697" t="str">
        <f>back_to_index</f>
        <v>Back to contents</v>
      </c>
      <c r="D65" s="1697"/>
      <c r="G65" s="1530" t="str">
        <f>page_prefix &amp; page_fn_ISNA&amp; page_suffix</f>
        <v>- Page 28 -</v>
      </c>
      <c r="H65" s="1530"/>
      <c r="I65" s="1530"/>
      <c r="J65" s="1481"/>
      <c r="K65" s="1481"/>
      <c r="N65" s="1640" t="str">
        <f>back_to_top</f>
        <v>Back to top</v>
      </c>
      <c r="O65" s="1640"/>
    </row>
    <row r="66" spans="3:15">
      <c r="G66" s="1530" t="str">
        <f>copyright</f>
        <v>Copyright (c) 2009 Tykoh Group Pty Limited</v>
      </c>
      <c r="H66" s="1530"/>
      <c r="I66" s="1530"/>
      <c r="J66" s="1481"/>
      <c r="K66" s="1481"/>
    </row>
    <row r="67" spans="3:15">
      <c r="G67" s="1452" t="str">
        <f>home_address</f>
        <v>www.tykoh.com</v>
      </c>
      <c r="H67" s="1452"/>
      <c r="I67" s="1452"/>
      <c r="J67" s="1452"/>
      <c r="K67" s="1452"/>
    </row>
    <row r="68" spans="3:15"/>
  </sheetData>
  <sheetProtection algorithmName="SHA-512" hashValue="YvkpnktYFpa+wf2fnY6rui0y4+6eruyPbZUbFZj3ZFKkc4qEF8uBIxJm0sTWg/Ms2UyX+B4mq21gwDYK9EAryA==" saltValue="0J1erE14T2BQZHaaXud3Gg==" spinCount="100000" sheet="1" objects="1" scenarios="1"/>
  <mergeCells count="18">
    <mergeCell ref="C5:L7"/>
    <mergeCell ref="M4:O8"/>
    <mergeCell ref="C15:O19"/>
    <mergeCell ref="C32:O34"/>
    <mergeCell ref="C9:L11"/>
    <mergeCell ref="G67:K67"/>
    <mergeCell ref="C65:D65"/>
    <mergeCell ref="G65:K65"/>
    <mergeCell ref="N65:O65"/>
    <mergeCell ref="G66:K66"/>
    <mergeCell ref="C13:O13"/>
    <mergeCell ref="C42:O43"/>
    <mergeCell ref="D29:F29"/>
    <mergeCell ref="C61:O63"/>
    <mergeCell ref="C47:L48"/>
    <mergeCell ref="M44:O48"/>
    <mergeCell ref="C35:O36"/>
    <mergeCell ref="C38:O40"/>
  </mergeCells>
  <phoneticPr fontId="2" type="noConversion"/>
  <dataValidations disablePrompts="1" count="1">
    <dataValidation type="list" allowBlank="1" showInputMessage="1" showErrorMessage="1" sqref="E56" xr:uid="{00000000-0002-0000-2800-000000000000}">
      <formula1>"A,B"</formula1>
    </dataValidation>
  </dataValidations>
  <hyperlinks>
    <hyperlink ref="H21" location="hh_fn_VLOOKUP" display="here" xr:uid="{00000000-0004-0000-2800-000000000000}"/>
    <hyperlink ref="N65:O65" location="hh_fn_ISNA" display="hh_fn_ISNA" xr:uid="{00000000-0004-0000-2800-000001000000}"/>
    <hyperlink ref="C65:D65" location="hh_index" display="hh_index" xr:uid="{00000000-0004-0000-2800-000002000000}"/>
    <hyperlink ref="G67:K67" r:id="rId1" display="https://www.tykoh.com/" xr:uid="{00000000-0004-0000-2800-000003000000}"/>
  </hyperlinks>
  <pageMargins left="0.75" right="0.75" top="1" bottom="1" header="0.5" footer="0.5"/>
  <pageSetup scale="74" orientation="portrait" r:id="rId2"/>
  <headerFooter alignWithMargins="0"/>
  <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1">
    <pageSetUpPr fitToPage="1"/>
  </sheetPr>
  <dimension ref="C1:O71"/>
  <sheetViews>
    <sheetView showGridLines="0" showRowColHeaders="0" topLeftCell="A46" workbookViewId="0">
      <selection activeCell="G70" sqref="G70:K70"/>
    </sheetView>
  </sheetViews>
  <sheetFormatPr defaultColWidth="0" defaultRowHeight="12.5" zeroHeight="1"/>
  <cols>
    <col min="1" max="2" width="1" customWidth="1"/>
    <col min="3" max="15" width="8.7265625" customWidth="1"/>
    <col min="16" max="16" width="1.81640625" customWidth="1"/>
  </cols>
  <sheetData>
    <row r="1" spans="3:15" s="32" customFormat="1"/>
    <row r="2" spans="3:15" s="32" customFormat="1">
      <c r="C2" s="103"/>
      <c r="D2" s="103"/>
      <c r="E2" s="103"/>
      <c r="F2" s="103"/>
      <c r="G2" s="103"/>
      <c r="H2" s="103"/>
      <c r="I2" s="103"/>
      <c r="J2" s="103"/>
      <c r="K2" s="103"/>
      <c r="L2" s="103"/>
      <c r="M2" s="103"/>
      <c r="N2" s="103"/>
      <c r="O2" s="103"/>
    </row>
    <row r="3" spans="3:15" s="32" customFormat="1" ht="16" thickBot="1">
      <c r="C3" s="416" t="s">
        <v>723</v>
      </c>
    </row>
    <row r="4" spans="3:15" s="32" customFormat="1" ht="13" thickTop="1">
      <c r="M4" s="1521" t="str">
        <f ca="1">OFFSET(ad_first,OFFSET(ads_top,ROW(ads_fn_LARGE)-1,1),0)</f>
        <v>Exercises in our spreadsheet skills and modelling courses give you instant feedback of your progress.</v>
      </c>
      <c r="N4" s="1507"/>
      <c r="O4" s="1508"/>
    </row>
    <row r="5" spans="3:15" s="32" customFormat="1">
      <c r="C5" s="1517" t="s">
        <v>1602</v>
      </c>
      <c r="D5" s="1517"/>
      <c r="E5" s="1517"/>
      <c r="F5" s="1517"/>
      <c r="G5" s="1517"/>
      <c r="H5" s="1517"/>
      <c r="I5" s="1517"/>
      <c r="J5" s="1517"/>
      <c r="K5" s="1517"/>
      <c r="L5" s="1569"/>
      <c r="M5" s="1509"/>
      <c r="N5" s="1510"/>
      <c r="O5" s="1511"/>
    </row>
    <row r="6" spans="3:15" s="32" customFormat="1">
      <c r="C6" s="1517"/>
      <c r="D6" s="1517"/>
      <c r="E6" s="1517"/>
      <c r="F6" s="1517"/>
      <c r="G6" s="1517"/>
      <c r="H6" s="1517"/>
      <c r="I6" s="1517"/>
      <c r="J6" s="1517"/>
      <c r="K6" s="1517"/>
      <c r="L6" s="1569"/>
      <c r="M6" s="1509"/>
      <c r="N6" s="1510"/>
      <c r="O6" s="1511"/>
    </row>
    <row r="7" spans="3:15" s="32" customFormat="1">
      <c r="C7" s="1517"/>
      <c r="D7" s="1517"/>
      <c r="E7" s="1517"/>
      <c r="F7" s="1517"/>
      <c r="G7" s="1517"/>
      <c r="H7" s="1517"/>
      <c r="I7" s="1517"/>
      <c r="J7" s="1517"/>
      <c r="K7" s="1517"/>
      <c r="L7" s="1569"/>
      <c r="M7" s="1509"/>
      <c r="N7" s="1510"/>
      <c r="O7" s="1511"/>
    </row>
    <row r="8" spans="3:15" s="32" customFormat="1" ht="13" thickBot="1">
      <c r="C8" s="1517"/>
      <c r="D8" s="1517"/>
      <c r="E8" s="1517"/>
      <c r="F8" s="1517"/>
      <c r="G8" s="1517"/>
      <c r="H8" s="1517"/>
      <c r="I8" s="1517"/>
      <c r="J8" s="1517"/>
      <c r="K8" s="1517"/>
      <c r="L8" s="1569"/>
      <c r="M8" s="1512"/>
      <c r="N8" s="1513"/>
      <c r="O8" s="1514"/>
    </row>
    <row r="9" spans="3:15" s="32" customFormat="1" ht="13" thickTop="1">
      <c r="M9" s="1310"/>
      <c r="N9" s="1311"/>
      <c r="O9" s="1311"/>
    </row>
    <row r="10" spans="3:15" s="32" customFormat="1">
      <c r="C10" s="857"/>
      <c r="D10" s="857" t="s">
        <v>1363</v>
      </c>
      <c r="E10" s="857" t="s">
        <v>1364</v>
      </c>
      <c r="F10" s="857" t="s">
        <v>1473</v>
      </c>
      <c r="G10" s="857" t="s">
        <v>1474</v>
      </c>
      <c r="H10" s="857" t="s">
        <v>1475</v>
      </c>
      <c r="I10" s="857" t="s">
        <v>1476</v>
      </c>
      <c r="J10" s="857" t="s">
        <v>497</v>
      </c>
      <c r="K10" s="857" t="s">
        <v>1511</v>
      </c>
    </row>
    <row r="11" spans="3:15" s="32" customFormat="1" ht="13" thickBot="1">
      <c r="C11" s="857">
        <v>1</v>
      </c>
      <c r="D11" s="958"/>
      <c r="E11" s="958"/>
      <c r="F11" s="958"/>
      <c r="G11" s="791"/>
      <c r="H11" s="791"/>
      <c r="I11" s="791"/>
      <c r="J11" s="791"/>
      <c r="K11" s="791"/>
    </row>
    <row r="12" spans="3:15" s="32" customFormat="1">
      <c r="C12" s="949">
        <v>2</v>
      </c>
      <c r="D12" s="1182">
        <v>17</v>
      </c>
      <c r="E12" s="1183">
        <v>3</v>
      </c>
      <c r="F12" s="1185">
        <v>27</v>
      </c>
      <c r="G12" s="809"/>
      <c r="H12" s="791"/>
      <c r="I12" s="791"/>
      <c r="J12" s="791"/>
      <c r="K12" s="791"/>
    </row>
    <row r="13" spans="3:15" s="32" customFormat="1" ht="13" thickBot="1">
      <c r="C13" s="949">
        <v>3</v>
      </c>
      <c r="D13" s="1184">
        <v>-34</v>
      </c>
      <c r="E13" s="1072">
        <v>19</v>
      </c>
      <c r="F13" s="1186">
        <v>4</v>
      </c>
      <c r="G13" s="809"/>
      <c r="H13" s="791"/>
      <c r="I13" s="791"/>
      <c r="J13" s="791"/>
      <c r="K13" s="791"/>
    </row>
    <row r="14" spans="3:15" s="32" customFormat="1">
      <c r="C14" s="857">
        <v>4</v>
      </c>
      <c r="D14" s="963"/>
      <c r="E14" s="963"/>
      <c r="F14" s="963"/>
      <c r="G14" s="791"/>
      <c r="H14" s="791"/>
      <c r="I14" s="791"/>
      <c r="J14" s="791"/>
      <c r="K14" s="791"/>
    </row>
    <row r="15" spans="3:15" s="32" customFormat="1">
      <c r="C15" s="857">
        <v>5</v>
      </c>
      <c r="D15" s="791">
        <f>LARGE(D12:F13,1)</f>
        <v>27</v>
      </c>
      <c r="E15" s="900" t="s">
        <v>386</v>
      </c>
      <c r="F15" s="791"/>
      <c r="G15" s="791"/>
      <c r="H15" s="791"/>
      <c r="I15" s="791"/>
      <c r="J15" s="791"/>
      <c r="K15" s="791"/>
    </row>
    <row r="16" spans="3:15" s="32" customFormat="1">
      <c r="C16" s="857">
        <v>6</v>
      </c>
      <c r="D16" s="791"/>
      <c r="E16" s="791"/>
      <c r="F16" s="791"/>
      <c r="G16" s="791"/>
      <c r="H16" s="791"/>
      <c r="I16" s="791"/>
      <c r="J16" s="791"/>
      <c r="K16" s="791"/>
    </row>
    <row r="17" spans="3:15" s="32" customFormat="1">
      <c r="C17" s="857">
        <v>7</v>
      </c>
      <c r="D17" s="791">
        <f>LARGE(D12:F13,3)</f>
        <v>17</v>
      </c>
      <c r="E17" s="900" t="s">
        <v>387</v>
      </c>
      <c r="F17" s="791"/>
      <c r="G17" s="791"/>
      <c r="H17" s="791"/>
      <c r="I17" s="791"/>
      <c r="J17" s="791"/>
      <c r="K17" s="791"/>
    </row>
    <row r="18" spans="3:15" s="32" customFormat="1"/>
    <row r="19" spans="3:15" s="32" customFormat="1" ht="15.75" customHeight="1">
      <c r="C19" s="1517" t="s">
        <v>807</v>
      </c>
      <c r="D19" s="1517"/>
      <c r="E19" s="1517"/>
      <c r="F19" s="1517"/>
      <c r="G19" s="1517"/>
      <c r="H19" s="1517"/>
      <c r="I19" s="1517"/>
      <c r="J19" s="1517"/>
      <c r="K19" s="1517"/>
      <c r="L19" s="1517"/>
      <c r="M19" s="1517"/>
      <c r="N19" s="1517"/>
      <c r="O19" s="1517"/>
    </row>
    <row r="20" spans="3:15" s="32" customFormat="1" ht="15.75" customHeight="1">
      <c r="C20" s="1517"/>
      <c r="D20" s="1517"/>
      <c r="E20" s="1517"/>
      <c r="F20" s="1517"/>
      <c r="G20" s="1517"/>
      <c r="H20" s="1517"/>
      <c r="I20" s="1517"/>
      <c r="J20" s="1517"/>
      <c r="K20" s="1517"/>
      <c r="L20" s="1517"/>
      <c r="M20" s="1517"/>
      <c r="N20" s="1517"/>
      <c r="O20" s="1517"/>
    </row>
    <row r="21" spans="3:15" s="32" customFormat="1" ht="15.75" customHeight="1">
      <c r="C21" s="1517"/>
      <c r="D21" s="1517"/>
      <c r="E21" s="1517"/>
      <c r="F21" s="1517"/>
      <c r="G21" s="1517"/>
      <c r="H21" s="1517"/>
      <c r="I21" s="1517"/>
      <c r="J21" s="1517"/>
      <c r="K21" s="1517"/>
      <c r="L21" s="1517"/>
      <c r="M21" s="1517"/>
      <c r="N21" s="1517"/>
      <c r="O21" s="1517"/>
    </row>
    <row r="22" spans="3:15" s="32" customFormat="1" ht="13" thickBot="1">
      <c r="C22" s="857"/>
      <c r="D22" s="857" t="s">
        <v>1363</v>
      </c>
      <c r="E22" s="857" t="s">
        <v>1364</v>
      </c>
      <c r="F22" s="948" t="s">
        <v>1473</v>
      </c>
      <c r="G22" s="857" t="s">
        <v>1474</v>
      </c>
      <c r="H22" s="948" t="s">
        <v>1475</v>
      </c>
      <c r="I22" s="948" t="s">
        <v>1476</v>
      </c>
      <c r="J22" s="948" t="s">
        <v>497</v>
      </c>
      <c r="K22" s="857" t="s">
        <v>1511</v>
      </c>
      <c r="L22" s="857" t="s">
        <v>1512</v>
      </c>
      <c r="M22" s="857" t="s">
        <v>1513</v>
      </c>
      <c r="N22" s="857" t="s">
        <v>1514</v>
      </c>
    </row>
    <row r="23" spans="3:15" s="32" customFormat="1" ht="13" thickBot="1">
      <c r="C23" s="857">
        <v>1</v>
      </c>
      <c r="D23" s="791" t="s">
        <v>1603</v>
      </c>
      <c r="E23" s="1018"/>
      <c r="F23" s="979">
        <v>2</v>
      </c>
      <c r="G23" s="1052"/>
      <c r="H23" s="1187">
        <v>17</v>
      </c>
      <c r="I23" s="1102">
        <v>3</v>
      </c>
      <c r="J23" s="1105">
        <v>27</v>
      </c>
      <c r="K23" s="809"/>
      <c r="L23" s="791"/>
      <c r="M23" s="791"/>
      <c r="N23" s="791"/>
    </row>
    <row r="24" spans="3:15" s="32" customFormat="1" ht="13" thickBot="1">
      <c r="C24" s="857">
        <v>2</v>
      </c>
      <c r="D24" s="791"/>
      <c r="E24" s="791"/>
      <c r="F24" s="963"/>
      <c r="G24" s="1018"/>
      <c r="H24" s="1188">
        <v>-34</v>
      </c>
      <c r="I24" s="1108">
        <v>19</v>
      </c>
      <c r="J24" s="1109">
        <v>4</v>
      </c>
      <c r="K24" s="809"/>
      <c r="L24" s="791"/>
      <c r="M24" s="791"/>
      <c r="N24" s="791"/>
    </row>
    <row r="25" spans="3:15" s="32" customFormat="1">
      <c r="C25" s="857">
        <v>3</v>
      </c>
      <c r="D25" s="791"/>
      <c r="E25" s="791"/>
      <c r="F25" s="791"/>
      <c r="G25" s="791"/>
      <c r="H25" s="963"/>
      <c r="I25" s="963"/>
      <c r="J25" s="963"/>
      <c r="K25" s="791"/>
      <c r="L25" s="791"/>
      <c r="M25" s="791"/>
      <c r="N25" s="791"/>
    </row>
    <row r="26" spans="3:15" s="32" customFormat="1">
      <c r="C26" s="857">
        <v>4</v>
      </c>
      <c r="D26" s="791"/>
      <c r="E26" s="791"/>
      <c r="F26" s="791"/>
      <c r="G26" s="791"/>
      <c r="H26" s="791"/>
      <c r="I26" s="791"/>
      <c r="J26" s="791"/>
      <c r="K26" s="791"/>
      <c r="L26" s="791"/>
      <c r="M26" s="791"/>
      <c r="N26" s="791"/>
    </row>
    <row r="27" spans="3:15" s="32" customFormat="1">
      <c r="C27" s="857">
        <v>5</v>
      </c>
      <c r="D27" s="791"/>
      <c r="E27" s="791"/>
      <c r="F27" s="791"/>
      <c r="G27" s="791"/>
      <c r="H27" s="791"/>
      <c r="I27" s="791"/>
      <c r="J27" s="791"/>
      <c r="K27" s="791"/>
      <c r="L27" s="791"/>
      <c r="M27" s="791"/>
      <c r="N27" s="791"/>
    </row>
    <row r="28" spans="3:15" s="32" customFormat="1">
      <c r="C28" s="857">
        <v>6</v>
      </c>
      <c r="D28" s="791"/>
      <c r="E28" s="791"/>
      <c r="F28" s="791"/>
      <c r="G28" s="791"/>
      <c r="H28" s="791"/>
      <c r="I28" s="791"/>
      <c r="J28" s="791"/>
      <c r="K28" s="791"/>
      <c r="L28" s="791"/>
      <c r="M28" s="791"/>
      <c r="N28" s="791"/>
    </row>
    <row r="29" spans="3:15" s="32" customFormat="1">
      <c r="C29" s="857">
        <v>7</v>
      </c>
      <c r="D29" s="1710" t="str">
        <f>"The " &amp;F23&amp;IF(F23&gt;3,"th",CHOOSE(F23,"st","nd","rd"))&amp;" largest is " &amp; LARGE(H23:J24,F23)</f>
        <v>The 2nd largest is 19</v>
      </c>
      <c r="E29" s="1710"/>
      <c r="F29" s="900" t="s">
        <v>806</v>
      </c>
      <c r="G29" s="791"/>
      <c r="H29" s="791"/>
      <c r="I29" s="791"/>
      <c r="J29" s="791"/>
      <c r="K29" s="791"/>
      <c r="L29" s="791"/>
      <c r="M29" s="791"/>
      <c r="N29" s="791"/>
    </row>
    <row r="30" spans="3:15" s="32" customFormat="1">
      <c r="C30" s="857">
        <v>8</v>
      </c>
      <c r="D30" s="791"/>
      <c r="E30" s="791"/>
      <c r="F30" s="791"/>
      <c r="G30" s="791"/>
      <c r="H30" s="791"/>
      <c r="I30" s="791"/>
      <c r="J30" s="791"/>
      <c r="K30" s="791"/>
      <c r="L30" s="791"/>
      <c r="M30" s="791"/>
      <c r="N30" s="791"/>
    </row>
    <row r="31" spans="3:15" s="32" customFormat="1" ht="13" thickBot="1"/>
    <row r="32" spans="3:15" s="32" customFormat="1" ht="13.5" thickTop="1">
      <c r="C32" s="772" t="s">
        <v>505</v>
      </c>
      <c r="M32" s="1506" t="str">
        <f ca="1">OFFSET(ad_first,OFFSET(ads_top,ROW(ads_fn_LARGE)-1,2),0)</f>
        <v>Our workshops review the finance principles and assumptions underlying the main spreadsheet financial functions.</v>
      </c>
      <c r="N32" s="1507"/>
      <c r="O32" s="1508"/>
    </row>
    <row r="33" spans="3:15" s="32" customFormat="1">
      <c r="C33" s="1585" t="s">
        <v>515</v>
      </c>
      <c r="D33" s="1585"/>
      <c r="E33" s="1585"/>
      <c r="F33" s="1585"/>
      <c r="G33" s="1585"/>
      <c r="H33" s="1585"/>
      <c r="I33" s="1585"/>
      <c r="J33" s="1585"/>
      <c r="K33" s="1585"/>
      <c r="L33" s="1568"/>
      <c r="M33" s="1509"/>
      <c r="N33" s="1510"/>
      <c r="O33" s="1511"/>
    </row>
    <row r="34" spans="3:15" s="32" customFormat="1">
      <c r="C34" s="1585"/>
      <c r="D34" s="1585"/>
      <c r="E34" s="1585"/>
      <c r="F34" s="1585"/>
      <c r="G34" s="1585"/>
      <c r="H34" s="1585"/>
      <c r="I34" s="1585"/>
      <c r="J34" s="1585"/>
      <c r="K34" s="1585"/>
      <c r="L34" s="1568"/>
      <c r="M34" s="1509"/>
      <c r="N34" s="1510"/>
      <c r="O34" s="1511"/>
    </row>
    <row r="35" spans="3:15" s="32" customFormat="1">
      <c r="C35" s="1585"/>
      <c r="D35" s="1585"/>
      <c r="E35" s="1585"/>
      <c r="F35" s="1585"/>
      <c r="G35" s="1585"/>
      <c r="H35" s="1585"/>
      <c r="I35" s="1585"/>
      <c r="J35" s="1585"/>
      <c r="K35" s="1585"/>
      <c r="L35" s="1568"/>
      <c r="M35" s="1509"/>
      <c r="N35" s="1510"/>
      <c r="O35" s="1511"/>
    </row>
    <row r="36" spans="3:15" s="32" customFormat="1" ht="13" thickBot="1">
      <c r="C36" s="1585"/>
      <c r="D36" s="1585"/>
      <c r="E36" s="1585"/>
      <c r="F36" s="1585"/>
      <c r="G36" s="1585"/>
      <c r="H36" s="1585"/>
      <c r="I36" s="1585"/>
      <c r="J36" s="1585"/>
      <c r="K36" s="1585"/>
      <c r="L36" s="1568"/>
      <c r="M36" s="1512"/>
      <c r="N36" s="1513"/>
      <c r="O36" s="1514"/>
    </row>
    <row r="37" spans="3:15" s="32" customFormat="1" ht="13" thickTop="1">
      <c r="C37" s="263"/>
      <c r="D37" s="263"/>
      <c r="E37" s="263"/>
      <c r="F37" s="263"/>
      <c r="G37" s="263"/>
      <c r="H37" s="263"/>
      <c r="I37" s="263"/>
      <c r="J37" s="263"/>
      <c r="K37" s="263"/>
      <c r="L37" s="369"/>
      <c r="M37" s="1163"/>
      <c r="N37" s="1164"/>
      <c r="O37" s="1164"/>
    </row>
    <row r="38" spans="3:15" s="32" customFormat="1">
      <c r="C38" s="857"/>
      <c r="D38" s="857" t="s">
        <v>1363</v>
      </c>
      <c r="E38" s="857" t="s">
        <v>1364</v>
      </c>
      <c r="F38" s="857" t="s">
        <v>1473</v>
      </c>
      <c r="G38" s="857" t="s">
        <v>1474</v>
      </c>
      <c r="H38" s="857" t="s">
        <v>1475</v>
      </c>
      <c r="I38" s="857" t="s">
        <v>1476</v>
      </c>
      <c r="J38" s="857" t="s">
        <v>497</v>
      </c>
      <c r="K38" s="857" t="s">
        <v>1511</v>
      </c>
    </row>
    <row r="39" spans="3:15" s="32" customFormat="1" ht="13" thickBot="1">
      <c r="C39" s="857">
        <v>1</v>
      </c>
      <c r="D39" s="958" t="s">
        <v>506</v>
      </c>
      <c r="E39" s="958" t="s">
        <v>507</v>
      </c>
      <c r="F39" s="791" t="s">
        <v>508</v>
      </c>
      <c r="G39" s="791"/>
      <c r="H39" s="791"/>
      <c r="I39" s="791"/>
      <c r="J39" s="791"/>
      <c r="K39" s="791"/>
    </row>
    <row r="40" spans="3:15" s="32" customFormat="1" ht="13" thickBot="1">
      <c r="C40" s="949">
        <v>2</v>
      </c>
      <c r="D40" s="1194">
        <v>23</v>
      </c>
      <c r="E40" s="1016">
        <v>1</v>
      </c>
      <c r="F40" s="809">
        <f t="shared" ref="F40:F45" si="0">LARGE($D$40:$D$45,E40)</f>
        <v>92</v>
      </c>
      <c r="G40" s="900" t="s">
        <v>509</v>
      </c>
      <c r="H40" s="791"/>
      <c r="I40" s="791"/>
      <c r="J40" s="791"/>
      <c r="K40" s="791"/>
    </row>
    <row r="41" spans="3:15" s="32" customFormat="1">
      <c r="C41" s="949">
        <v>3</v>
      </c>
      <c r="D41" s="1192">
        <v>17</v>
      </c>
      <c r="E41" s="1014">
        <f>E40+1</f>
        <v>2</v>
      </c>
      <c r="F41" s="791">
        <f t="shared" si="0"/>
        <v>78</v>
      </c>
      <c r="G41" s="900" t="s">
        <v>510</v>
      </c>
      <c r="H41" s="791"/>
      <c r="I41" s="791"/>
      <c r="J41" s="791"/>
      <c r="K41" s="791"/>
    </row>
    <row r="42" spans="3:15" s="32" customFormat="1">
      <c r="C42" s="949">
        <v>4</v>
      </c>
      <c r="D42" s="1192">
        <v>78</v>
      </c>
      <c r="E42" s="809">
        <f>E41+1</f>
        <v>3</v>
      </c>
      <c r="F42" s="791">
        <f t="shared" si="0"/>
        <v>61</v>
      </c>
      <c r="G42" s="900" t="s">
        <v>511</v>
      </c>
      <c r="H42" s="791"/>
      <c r="I42" s="791"/>
      <c r="J42" s="791"/>
      <c r="K42" s="791"/>
    </row>
    <row r="43" spans="3:15" s="32" customFormat="1">
      <c r="C43" s="949">
        <v>5</v>
      </c>
      <c r="D43" s="1192">
        <v>12</v>
      </c>
      <c r="E43" s="809">
        <f>E42+1</f>
        <v>4</v>
      </c>
      <c r="F43" s="791">
        <f t="shared" si="0"/>
        <v>23</v>
      </c>
      <c r="G43" s="900" t="s">
        <v>512</v>
      </c>
      <c r="H43" s="791"/>
      <c r="I43" s="791"/>
      <c r="J43" s="791"/>
      <c r="K43" s="791"/>
    </row>
    <row r="44" spans="3:15" s="32" customFormat="1">
      <c r="C44" s="949">
        <v>6</v>
      </c>
      <c r="D44" s="1192">
        <v>92</v>
      </c>
      <c r="E44" s="809">
        <f>E43+1</f>
        <v>5</v>
      </c>
      <c r="F44" s="791">
        <f t="shared" si="0"/>
        <v>17</v>
      </c>
      <c r="G44" s="900" t="s">
        <v>513</v>
      </c>
      <c r="H44" s="791"/>
      <c r="I44" s="791"/>
      <c r="J44" s="791"/>
      <c r="K44" s="791"/>
    </row>
    <row r="45" spans="3:15" s="32" customFormat="1" ht="13" thickBot="1">
      <c r="C45" s="949">
        <v>7</v>
      </c>
      <c r="D45" s="1193">
        <v>61</v>
      </c>
      <c r="E45" s="809">
        <f>E44+1</f>
        <v>6</v>
      </c>
      <c r="F45" s="791">
        <f t="shared" si="0"/>
        <v>12</v>
      </c>
      <c r="G45" s="900" t="s">
        <v>514</v>
      </c>
      <c r="H45" s="791"/>
      <c r="I45" s="791"/>
      <c r="J45" s="791"/>
      <c r="K45" s="791"/>
    </row>
    <row r="46" spans="3:15" s="32" customFormat="1"/>
    <row r="47" spans="3:15" s="32" customFormat="1">
      <c r="C47" s="1585" t="s">
        <v>552</v>
      </c>
      <c r="D47" s="1585"/>
      <c r="E47" s="1585"/>
      <c r="F47" s="1585"/>
      <c r="G47" s="1585"/>
      <c r="H47" s="1585"/>
      <c r="I47" s="1585"/>
      <c r="J47" s="1585"/>
      <c r="K47" s="1585"/>
      <c r="L47" s="1585"/>
      <c r="M47" s="1585"/>
      <c r="N47" s="1585"/>
      <c r="O47" s="1585"/>
    </row>
    <row r="48" spans="3:15" s="32" customFormat="1">
      <c r="C48" s="1585"/>
      <c r="D48" s="1585"/>
      <c r="E48" s="1585"/>
      <c r="F48" s="1585"/>
      <c r="G48" s="1585"/>
      <c r="H48" s="1585"/>
      <c r="I48" s="1585"/>
      <c r="J48" s="1585"/>
      <c r="K48" s="1585"/>
      <c r="L48" s="1585"/>
      <c r="M48" s="1585"/>
      <c r="N48" s="1585"/>
      <c r="O48" s="1585"/>
    </row>
    <row r="49" spans="3:15" s="32" customFormat="1">
      <c r="C49" s="1585"/>
      <c r="D49" s="1585"/>
      <c r="E49" s="1585"/>
      <c r="F49" s="1585"/>
      <c r="G49" s="1585"/>
      <c r="H49" s="1585"/>
      <c r="I49" s="1585"/>
      <c r="J49" s="1585"/>
      <c r="K49" s="1585"/>
      <c r="L49" s="1585"/>
      <c r="M49" s="1585"/>
      <c r="N49" s="1585"/>
      <c r="O49" s="1585"/>
    </row>
    <row r="50" spans="3:15" s="32" customFormat="1">
      <c r="C50" s="263"/>
      <c r="D50" s="263"/>
      <c r="E50" s="263"/>
      <c r="F50" s="263"/>
      <c r="G50" s="263"/>
      <c r="H50" s="263"/>
      <c r="I50" s="263"/>
      <c r="J50" s="263"/>
      <c r="K50" s="263"/>
      <c r="L50" s="263"/>
      <c r="M50" s="263"/>
      <c r="N50" s="263"/>
      <c r="O50" s="263"/>
    </row>
    <row r="51" spans="3:15" s="32" customFormat="1" ht="13">
      <c r="C51" s="772" t="s">
        <v>1661</v>
      </c>
    </row>
    <row r="52" spans="3:15" s="32" customFormat="1">
      <c r="C52" s="1517" t="str">
        <f>"Following is a more complex sorting example.  Column A is unsorted. Column B is 'paired' with column A.  So the 12 in cell B2 is paired with the " &amp; D59 &amp; " in cell A2.  In the sorted columns D &amp; E the 12 should still be paired with the " &amp; D59 &amp; "."</f>
        <v>Following is a more complex sorting example.  Column A is unsorted. Column B is 'paired' with column A.  So the 12 in cell B2 is paired with the 13 in cell A2.  In the sorted columns D &amp; E the 12 should still be paired with the 13.</v>
      </c>
      <c r="D52" s="1449"/>
      <c r="E52" s="1449"/>
      <c r="F52" s="1449"/>
      <c r="G52" s="1449"/>
      <c r="H52" s="1449"/>
      <c r="I52" s="1449"/>
      <c r="J52" s="1449"/>
      <c r="K52" s="1449"/>
      <c r="L52" s="1449"/>
      <c r="M52" s="1449"/>
      <c r="N52" s="1449"/>
      <c r="O52" s="1449"/>
    </row>
    <row r="53" spans="3:15" s="32" customFormat="1">
      <c r="C53" s="1449"/>
      <c r="D53" s="1449"/>
      <c r="E53" s="1449"/>
      <c r="F53" s="1449"/>
      <c r="G53" s="1449"/>
      <c r="H53" s="1449"/>
      <c r="I53" s="1449"/>
      <c r="J53" s="1449"/>
      <c r="K53" s="1449"/>
      <c r="L53" s="1449"/>
      <c r="M53" s="1449"/>
      <c r="N53" s="1449"/>
      <c r="O53" s="1449"/>
    </row>
    <row r="54" spans="3:15" s="773" customFormat="1"/>
    <row r="55" spans="3:15" s="773" customFormat="1">
      <c r="C55" s="1517" t="s">
        <v>1408</v>
      </c>
      <c r="D55" s="1517"/>
      <c r="E55" s="1517"/>
      <c r="F55" s="1517"/>
      <c r="G55" s="1517"/>
      <c r="H55" s="1517"/>
      <c r="I55" s="1517"/>
      <c r="J55" s="1517"/>
      <c r="K55" s="1517"/>
      <c r="L55" s="1517"/>
      <c r="M55" s="1517"/>
      <c r="N55" s="1517"/>
      <c r="O55" s="1517"/>
    </row>
    <row r="56" spans="3:15" s="773" customFormat="1" ht="13" thickBot="1">
      <c r="L56" s="450"/>
      <c r="M56" s="450"/>
      <c r="N56" s="450"/>
    </row>
    <row r="57" spans="3:15" s="32" customFormat="1" ht="13" thickTop="1">
      <c r="C57" s="857"/>
      <c r="D57" s="857" t="s">
        <v>1363</v>
      </c>
      <c r="E57" s="857" t="s">
        <v>1364</v>
      </c>
      <c r="F57" s="857" t="s">
        <v>1473</v>
      </c>
      <c r="G57" s="857" t="s">
        <v>1474</v>
      </c>
      <c r="H57" s="857" t="s">
        <v>1475</v>
      </c>
      <c r="I57" s="857" t="s">
        <v>1476</v>
      </c>
      <c r="J57" s="857" t="s">
        <v>497</v>
      </c>
      <c r="K57" s="857" t="s">
        <v>1511</v>
      </c>
      <c r="L57" s="129"/>
      <c r="M57" s="1663" t="str">
        <f ca="1">OFFSET(ad_first,OFFSET(ads_top,ROW(ads_fn_LARGE)-1,3),0)</f>
        <v>Learn how to use iteration, goal-seeking, the solver and optimisation to solve problems that are too complex to solve in a single step.</v>
      </c>
      <c r="N57" s="1507"/>
      <c r="O57" s="1508"/>
    </row>
    <row r="58" spans="3:15" s="32" customFormat="1" ht="13">
      <c r="C58" s="857">
        <v>1</v>
      </c>
      <c r="D58" s="791" t="s">
        <v>506</v>
      </c>
      <c r="E58" s="1136" t="s">
        <v>1660</v>
      </c>
      <c r="F58" s="791"/>
      <c r="G58" s="791" t="s">
        <v>508</v>
      </c>
      <c r="H58" s="791" t="s">
        <v>1660</v>
      </c>
      <c r="I58" s="943"/>
      <c r="J58" s="1214"/>
      <c r="K58" s="1214"/>
      <c r="L58" s="1215"/>
      <c r="M58" s="1509"/>
      <c r="N58" s="1510"/>
      <c r="O58" s="1511"/>
    </row>
    <row r="59" spans="3:15" s="32" customFormat="1">
      <c r="C59" s="857">
        <v>2</v>
      </c>
      <c r="D59" s="944">
        <v>13</v>
      </c>
      <c r="E59" s="791">
        <v>12</v>
      </c>
      <c r="F59" s="791"/>
      <c r="G59" s="791">
        <f>LARGE($D$59:$D$66,C58)</f>
        <v>67</v>
      </c>
      <c r="H59" s="791">
        <f ca="1">OFFSET(E$59,$K59-1,0)</f>
        <v>56</v>
      </c>
      <c r="I59" s="943"/>
      <c r="J59" s="947">
        <f>LARGE($D$59:$D$66,C58)</f>
        <v>67</v>
      </c>
      <c r="K59" s="947">
        <f ca="1">IF(J59=J58,MATCH(J59,OFFSET(D$59,K58,0):$D$66,0)+K58,MATCH(J59,$D$59:$D$66,0))</f>
        <v>6</v>
      </c>
      <c r="L59" s="240"/>
      <c r="M59" s="1509"/>
      <c r="N59" s="1510"/>
      <c r="O59" s="1511"/>
    </row>
    <row r="60" spans="3:15" s="32" customFormat="1">
      <c r="C60" s="857">
        <v>3</v>
      </c>
      <c r="D60" s="944">
        <v>25</v>
      </c>
      <c r="E60" s="791">
        <v>17</v>
      </c>
      <c r="F60" s="791"/>
      <c r="G60" s="791">
        <f t="shared" ref="G60:G66" si="1">LARGE($D$59:$D$66,C59)</f>
        <v>45</v>
      </c>
      <c r="H60" s="791">
        <f t="shared" ref="H60:H66" ca="1" si="2">OFFSET(E$59,$K60-1,0)</f>
        <v>19</v>
      </c>
      <c r="I60" s="943"/>
      <c r="J60" s="947">
        <f t="shared" ref="J60:J66" si="3">LARGE($D$59:$D$66,C59)</f>
        <v>45</v>
      </c>
      <c r="K60" s="947">
        <f ca="1">IF(J60=J59,MATCH(J60,OFFSET(D$59,K59,0):$D$66,0)+K59,MATCH(J60,$D$59:$D$66,0))</f>
        <v>4</v>
      </c>
      <c r="L60" s="240"/>
      <c r="M60" s="1509"/>
      <c r="N60" s="1510"/>
      <c r="O60" s="1511"/>
    </row>
    <row r="61" spans="3:15" s="32" customFormat="1" ht="13" thickBot="1">
      <c r="C61" s="857">
        <v>4</v>
      </c>
      <c r="D61" s="944">
        <v>36</v>
      </c>
      <c r="E61" s="791">
        <v>32</v>
      </c>
      <c r="F61" s="791"/>
      <c r="G61" s="791">
        <f t="shared" si="1"/>
        <v>36</v>
      </c>
      <c r="H61" s="791">
        <f t="shared" ca="1" si="2"/>
        <v>32</v>
      </c>
      <c r="I61" s="943"/>
      <c r="J61" s="947">
        <f t="shared" si="3"/>
        <v>36</v>
      </c>
      <c r="K61" s="947">
        <f ca="1">IF(J61=J60,MATCH(J61,OFFSET(D$59,K60,0):$D$66,0)+K60,MATCH(J61,$D$59:$D$66,0))</f>
        <v>3</v>
      </c>
      <c r="L61" s="240"/>
      <c r="M61" s="1512"/>
      <c r="N61" s="1513"/>
      <c r="O61" s="1514"/>
    </row>
    <row r="62" spans="3:15" s="32" customFormat="1" ht="13" thickTop="1">
      <c r="C62" s="857">
        <v>5</v>
      </c>
      <c r="D62" s="944">
        <v>45</v>
      </c>
      <c r="E62" s="791">
        <v>19</v>
      </c>
      <c r="F62" s="791"/>
      <c r="G62" s="791">
        <f t="shared" si="1"/>
        <v>25</v>
      </c>
      <c r="H62" s="791">
        <f t="shared" ca="1" si="2"/>
        <v>17</v>
      </c>
      <c r="I62" s="943"/>
      <c r="J62" s="947">
        <f t="shared" si="3"/>
        <v>25</v>
      </c>
      <c r="K62" s="947">
        <f ca="1">IF(J62=J61,MATCH(J62,OFFSET(D$59,K61,0):$D$66,0)+K61,MATCH(J62,$D$59:$D$66,0))</f>
        <v>2</v>
      </c>
      <c r="L62" s="240"/>
      <c r="M62" s="80"/>
      <c r="N62" s="80"/>
    </row>
    <row r="63" spans="3:15" s="32" customFormat="1">
      <c r="C63" s="857">
        <v>6</v>
      </c>
      <c r="D63" s="944">
        <v>1</v>
      </c>
      <c r="E63" s="791">
        <v>10</v>
      </c>
      <c r="F63" s="791"/>
      <c r="G63" s="791">
        <f t="shared" si="1"/>
        <v>22</v>
      </c>
      <c r="H63" s="791">
        <f t="shared" ca="1" si="2"/>
        <v>16</v>
      </c>
      <c r="I63" s="943"/>
      <c r="J63" s="947">
        <f t="shared" si="3"/>
        <v>22</v>
      </c>
      <c r="K63" s="947">
        <f ca="1">IF(J63=J62,MATCH(J63,OFFSET(D$59,K62,0):$D$66,0)+K62,MATCH(J63,$D$59:$D$66,0))</f>
        <v>8</v>
      </c>
      <c r="L63" s="240"/>
      <c r="M63" s="80"/>
      <c r="N63" s="80"/>
    </row>
    <row r="64" spans="3:15" s="32" customFormat="1">
      <c r="C64" s="857">
        <v>7</v>
      </c>
      <c r="D64" s="944">
        <v>67</v>
      </c>
      <c r="E64" s="791">
        <v>56</v>
      </c>
      <c r="F64" s="791"/>
      <c r="G64" s="791">
        <f t="shared" si="1"/>
        <v>13</v>
      </c>
      <c r="H64" s="791">
        <f t="shared" ca="1" si="2"/>
        <v>12</v>
      </c>
      <c r="I64" s="943"/>
      <c r="J64" s="947">
        <f t="shared" si="3"/>
        <v>13</v>
      </c>
      <c r="K64" s="947">
        <f ca="1">IF(J64=J63,MATCH(J64,OFFSET(D$59,K63,0):$D$66,0)+K63,MATCH(J64,$D$59:$D$66,0))</f>
        <v>1</v>
      </c>
      <c r="L64" s="240"/>
      <c r="M64" s="80"/>
      <c r="N64" s="80"/>
    </row>
    <row r="65" spans="3:15" s="32" customFormat="1">
      <c r="C65" s="857">
        <v>8</v>
      </c>
      <c r="D65" s="944">
        <v>13</v>
      </c>
      <c r="E65" s="791">
        <v>5</v>
      </c>
      <c r="F65" s="791"/>
      <c r="G65" s="791">
        <f t="shared" si="1"/>
        <v>13</v>
      </c>
      <c r="H65" s="791">
        <f t="shared" ca="1" si="2"/>
        <v>5</v>
      </c>
      <c r="I65" s="943"/>
      <c r="J65" s="947">
        <f t="shared" si="3"/>
        <v>13</v>
      </c>
      <c r="K65" s="947">
        <f ca="1">IF(J65=J64,MATCH(J65,OFFSET(D$59,K64,0):$D$66,0)+K64,MATCH(J65,$D$59:$D$66,0))</f>
        <v>7</v>
      </c>
      <c r="L65" s="240"/>
      <c r="M65" s="80"/>
      <c r="N65" s="80"/>
    </row>
    <row r="66" spans="3:15" s="32" customFormat="1">
      <c r="C66" s="857">
        <v>9</v>
      </c>
      <c r="D66" s="944">
        <v>22</v>
      </c>
      <c r="E66" s="791">
        <v>16</v>
      </c>
      <c r="F66" s="791"/>
      <c r="G66" s="791">
        <f t="shared" si="1"/>
        <v>1</v>
      </c>
      <c r="H66" s="791">
        <f t="shared" ca="1" si="2"/>
        <v>10</v>
      </c>
      <c r="I66" s="943"/>
      <c r="J66" s="947">
        <f t="shared" si="3"/>
        <v>1</v>
      </c>
      <c r="K66" s="947">
        <f ca="1">IF(J66=J65,MATCH(J66,OFFSET(D$59,K65,0):$D$66,0)+K65,MATCH(J66,$D$59:$D$66,0))</f>
        <v>5</v>
      </c>
      <c r="L66" s="240"/>
      <c r="M66" s="80"/>
      <c r="N66" s="80"/>
    </row>
    <row r="67" spans="3:15" s="32" customFormat="1">
      <c r="C67" s="263"/>
      <c r="D67" s="263"/>
      <c r="E67" s="263"/>
      <c r="F67" s="263"/>
      <c r="G67" s="263"/>
      <c r="H67" s="263"/>
      <c r="I67" s="263"/>
      <c r="J67" s="263"/>
      <c r="K67" s="263"/>
      <c r="L67" s="263"/>
      <c r="M67" s="263"/>
      <c r="N67" s="263"/>
      <c r="O67" s="263"/>
    </row>
    <row r="68" spans="3:15" s="32" customFormat="1">
      <c r="C68" s="1697" t="str">
        <f>back_to_index</f>
        <v>Back to contents</v>
      </c>
      <c r="D68" s="1697"/>
      <c r="G68" s="1530" t="str">
        <f>page_prefix &amp; page_fn_LARGE&amp; page_suffix</f>
        <v>- Page 29 -</v>
      </c>
      <c r="H68" s="1530"/>
      <c r="I68" s="1530"/>
      <c r="J68" s="1481"/>
      <c r="K68" s="1481"/>
      <c r="N68" s="1711" t="str">
        <f>back_to_top</f>
        <v>Back to top</v>
      </c>
      <c r="O68" s="1711"/>
    </row>
    <row r="69" spans="3:15" s="32" customFormat="1">
      <c r="G69" s="1530" t="str">
        <f>copyright</f>
        <v>Copyright (c) 2009 Tykoh Group Pty Limited</v>
      </c>
      <c r="H69" s="1530"/>
      <c r="I69" s="1530"/>
      <c r="J69" s="1481"/>
      <c r="K69" s="1481"/>
    </row>
    <row r="70" spans="3:15" s="32" customFormat="1">
      <c r="G70" s="1452" t="str">
        <f>home_address</f>
        <v>www.tykoh.com</v>
      </c>
      <c r="H70" s="1452"/>
      <c r="I70" s="1452"/>
      <c r="J70" s="1452"/>
      <c r="K70" s="1452"/>
    </row>
    <row r="71" spans="3:15"/>
  </sheetData>
  <sheetProtection algorithmName="SHA-512" hashValue="t/3dP3gXqCccCjNGeGpDpOnNCyTRX0tBWBiLMYv+3OOlyNSOhiquc/8bAQxG5Qh68+v1fc2BrbFiilAjJZrMlA==" saltValue="hFBC2kU00C3TL/hckNjnnQ==" spinCount="100000" sheet="1" objects="1" scenarios="1"/>
  <mergeCells count="15">
    <mergeCell ref="M4:O8"/>
    <mergeCell ref="C5:L8"/>
    <mergeCell ref="C19:O21"/>
    <mergeCell ref="D29:E29"/>
    <mergeCell ref="C33:L36"/>
    <mergeCell ref="C52:O53"/>
    <mergeCell ref="G69:K69"/>
    <mergeCell ref="M32:O36"/>
    <mergeCell ref="G70:K70"/>
    <mergeCell ref="C55:O55"/>
    <mergeCell ref="C68:D68"/>
    <mergeCell ref="G68:K68"/>
    <mergeCell ref="N68:O68"/>
    <mergeCell ref="M57:O61"/>
    <mergeCell ref="C47:O49"/>
  </mergeCells>
  <phoneticPr fontId="2" type="noConversion"/>
  <conditionalFormatting sqref="G59:H66">
    <cfRule type="expression" dxfId="38" priority="1" stopIfTrue="1">
      <formula>COUNTIF($G$59:$G$66,$G59)&gt;1</formula>
    </cfRule>
  </conditionalFormatting>
  <conditionalFormatting sqref="D59:D66">
    <cfRule type="expression" dxfId="37" priority="2" stopIfTrue="1">
      <formula>COUNTIF($D$59:$D$66,$D59)&gt;1</formula>
    </cfRule>
  </conditionalFormatting>
  <conditionalFormatting sqref="E59:E66">
    <cfRule type="expression" dxfId="36" priority="3" stopIfTrue="1">
      <formula>COUNTIF($D$59:$D$66,D59)&gt;1</formula>
    </cfRule>
  </conditionalFormatting>
  <dataValidations count="2">
    <dataValidation type="list" allowBlank="1" showInputMessage="1" showErrorMessage="1" sqref="F23" xr:uid="{00000000-0002-0000-2900-000000000000}">
      <formula1>"1,2,3,4,5,6"</formula1>
    </dataValidation>
    <dataValidation type="list" allowBlank="1" showInputMessage="1" showErrorMessage="1" sqref="D59:D66" xr:uid="{00000000-0002-0000-2900-000001000000}">
      <formula1>"1,13,22,25,27,33,36,45,67,77,88,92,99"</formula1>
    </dataValidation>
  </dataValidations>
  <hyperlinks>
    <hyperlink ref="N68:O68" location="hh_fn_LARGE" display="hh_fn_LARGE" xr:uid="{00000000-0004-0000-2900-000000000000}"/>
    <hyperlink ref="C68:D68" location="hh_index" display="hh_index" xr:uid="{00000000-0004-0000-2900-000001000000}"/>
    <hyperlink ref="G70:K70" r:id="rId1" display="https://www.tykoh.com/" xr:uid="{00000000-0004-0000-2900-000002000000}"/>
  </hyperlinks>
  <pageMargins left="0.75" right="0.75" top="1" bottom="1" header="0.5" footer="0.5"/>
  <pageSetup paperSize="9" scale="71" orientation="portrait" r:id="rId2"/>
  <headerFooter alignWithMargins="0"/>
  <drawing r:id="rId3"/>
  <legacy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2">
    <pageSetUpPr fitToPage="1"/>
  </sheetPr>
  <dimension ref="C1:O96"/>
  <sheetViews>
    <sheetView showGridLines="0" showRowColHeaders="0" topLeftCell="A76" workbookViewId="0">
      <selection activeCell="G95" sqref="G95:J95"/>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464</v>
      </c>
    </row>
    <row r="4" spans="3:15" ht="16" thickTop="1">
      <c r="C4" s="416"/>
      <c r="M4" s="1545" t="str">
        <f ca="1">OFFSET(ad_first,OFFSET(ads_top,ROW(ads_fn_LEFT)-1,1),0)</f>
        <v>We can customise our courses for particular audiences.</v>
      </c>
      <c r="N4" s="1507"/>
      <c r="O4" s="1508"/>
    </row>
    <row r="5" spans="3:15" ht="13">
      <c r="C5" s="772" t="s">
        <v>725</v>
      </c>
      <c r="M5" s="1509"/>
      <c r="N5" s="1510"/>
      <c r="O5" s="1511"/>
    </row>
    <row r="6" spans="3:15" ht="13">
      <c r="C6" s="772"/>
      <c r="M6" s="1509"/>
      <c r="N6" s="1510"/>
      <c r="O6" s="1511"/>
    </row>
    <row r="7" spans="3:15">
      <c r="C7" s="1585" t="s">
        <v>879</v>
      </c>
      <c r="D7" s="1585"/>
      <c r="E7" s="1585"/>
      <c r="F7" s="1585"/>
      <c r="G7" s="1585"/>
      <c r="H7" s="1585"/>
      <c r="I7" s="1585"/>
      <c r="J7" s="1585"/>
      <c r="K7" s="263"/>
      <c r="L7" s="263"/>
      <c r="M7" s="1509"/>
      <c r="N7" s="1510"/>
      <c r="O7" s="1511"/>
    </row>
    <row r="8" spans="3:15" ht="13" thickBot="1">
      <c r="C8" s="1585"/>
      <c r="D8" s="1585"/>
      <c r="E8" s="1585"/>
      <c r="F8" s="1585"/>
      <c r="G8" s="1585"/>
      <c r="H8" s="1585"/>
      <c r="I8" s="1585"/>
      <c r="J8" s="1585"/>
      <c r="K8" s="263"/>
      <c r="L8" s="263"/>
      <c r="M8" s="1512"/>
      <c r="N8" s="1513"/>
      <c r="O8" s="1514"/>
    </row>
    <row r="9" spans="3:15" ht="13" thickTop="1">
      <c r="C9" s="1585"/>
      <c r="D9" s="1585"/>
      <c r="E9" s="1585"/>
      <c r="F9" s="1585"/>
      <c r="G9" s="1585"/>
      <c r="H9" s="1585"/>
      <c r="I9" s="1585"/>
      <c r="J9" s="1585"/>
      <c r="K9" s="263"/>
      <c r="L9" s="263"/>
      <c r="M9" s="1314"/>
      <c r="N9" s="1314"/>
      <c r="O9" s="1314"/>
    </row>
    <row r="10" spans="3:15">
      <c r="M10" s="1314"/>
      <c r="N10" s="1314"/>
      <c r="O10" s="1314"/>
    </row>
    <row r="11" spans="3:15">
      <c r="C11" s="1585" t="s">
        <v>833</v>
      </c>
      <c r="D11" s="1585"/>
      <c r="E11" s="1585"/>
      <c r="F11" s="1585"/>
      <c r="G11" s="1585"/>
      <c r="H11" s="1585"/>
      <c r="I11" s="1585"/>
      <c r="J11" s="1585"/>
      <c r="K11" s="263"/>
      <c r="L11" s="263"/>
      <c r="M11" s="1314"/>
      <c r="N11" s="1314"/>
      <c r="O11" s="1314"/>
    </row>
    <row r="12" spans="3:15">
      <c r="C12" s="1585"/>
      <c r="D12" s="1585"/>
      <c r="E12" s="1585"/>
      <c r="F12" s="1585"/>
      <c r="G12" s="1585"/>
      <c r="H12" s="1585"/>
      <c r="I12" s="1585"/>
      <c r="J12" s="1585"/>
      <c r="K12" s="263"/>
      <c r="L12" s="263"/>
      <c r="M12" s="1310"/>
      <c r="N12" s="1311"/>
      <c r="O12" s="1311"/>
    </row>
    <row r="13" spans="3:15"/>
    <row r="14" spans="3:15">
      <c r="C14" s="1585" t="s">
        <v>834</v>
      </c>
      <c r="D14" s="1585"/>
      <c r="E14" s="1585"/>
      <c r="F14" s="1585"/>
      <c r="G14" s="1585"/>
      <c r="H14" s="1585"/>
      <c r="I14" s="1585"/>
      <c r="J14" s="1585"/>
      <c r="K14" s="1585"/>
      <c r="L14" s="1585"/>
      <c r="M14" s="1585"/>
      <c r="N14" s="1585"/>
      <c r="O14" s="1585"/>
    </row>
    <row r="15" spans="3:15">
      <c r="C15" s="1585"/>
      <c r="D15" s="1585"/>
      <c r="E15" s="1585"/>
      <c r="F15" s="1585"/>
      <c r="G15" s="1585"/>
      <c r="H15" s="1585"/>
      <c r="I15" s="1585"/>
      <c r="J15" s="1585"/>
      <c r="K15" s="1585"/>
      <c r="L15" s="1585"/>
      <c r="M15" s="1585"/>
      <c r="N15" s="1585"/>
      <c r="O15" s="1585"/>
    </row>
    <row r="16" spans="3:15">
      <c r="C16" s="1585" t="s">
        <v>835</v>
      </c>
      <c r="D16" s="1585"/>
      <c r="E16" s="1585"/>
      <c r="F16" s="1585"/>
      <c r="G16" s="1585"/>
      <c r="H16" s="1585"/>
      <c r="I16" s="1585"/>
      <c r="J16" s="1585"/>
      <c r="K16" s="1585"/>
      <c r="L16" s="1585"/>
      <c r="M16" s="1585"/>
      <c r="N16" s="1585"/>
      <c r="O16" s="1585"/>
    </row>
    <row r="17" spans="3:15">
      <c r="C17" s="1585"/>
      <c r="D17" s="1585"/>
      <c r="E17" s="1585"/>
      <c r="F17" s="1585"/>
      <c r="G17" s="1585"/>
      <c r="H17" s="1585"/>
      <c r="I17" s="1585"/>
      <c r="J17" s="1585"/>
      <c r="K17" s="1585"/>
      <c r="L17" s="1585"/>
      <c r="M17" s="1585"/>
      <c r="N17" s="1585"/>
      <c r="O17" s="1585"/>
    </row>
    <row r="18" spans="3:15"/>
    <row r="19" spans="3:15" ht="13" thickBot="1">
      <c r="C19" s="857"/>
      <c r="D19" s="948" t="s">
        <v>1363</v>
      </c>
      <c r="E19" s="857" t="s">
        <v>1364</v>
      </c>
      <c r="F19" s="857" t="s">
        <v>1473</v>
      </c>
      <c r="G19" s="857" t="s">
        <v>1474</v>
      </c>
      <c r="H19" s="857" t="s">
        <v>1475</v>
      </c>
      <c r="I19" s="857" t="s">
        <v>1476</v>
      </c>
      <c r="J19" s="857" t="s">
        <v>497</v>
      </c>
      <c r="K19" s="74"/>
      <c r="L19" s="74"/>
    </row>
    <row r="20" spans="3:15" ht="13" thickBot="1">
      <c r="C20" s="949">
        <v>1</v>
      </c>
      <c r="D20" s="1019" t="s">
        <v>856</v>
      </c>
      <c r="E20" s="809" t="str">
        <f>LEFT(D20)</f>
        <v>F</v>
      </c>
      <c r="F20" s="900" t="s">
        <v>857</v>
      </c>
      <c r="G20" s="791"/>
      <c r="H20" s="791"/>
      <c r="I20" s="791"/>
      <c r="J20" s="791"/>
      <c r="K20" s="33"/>
      <c r="L20" s="33"/>
    </row>
    <row r="21" spans="3:15">
      <c r="C21" s="857">
        <v>2</v>
      </c>
      <c r="D21" s="963"/>
      <c r="E21" s="791"/>
      <c r="F21" s="791"/>
      <c r="G21" s="791"/>
      <c r="H21" s="791"/>
      <c r="I21" s="791"/>
      <c r="J21" s="791"/>
      <c r="K21" s="33"/>
      <c r="L21" s="33"/>
    </row>
    <row r="22" spans="3:15">
      <c r="C22" s="857">
        <v>3</v>
      </c>
      <c r="D22" s="791"/>
      <c r="E22" s="791" t="str">
        <f>LEFT(D20,2)</f>
        <v>FG</v>
      </c>
      <c r="F22" s="900" t="s">
        <v>858</v>
      </c>
      <c r="G22" s="791"/>
      <c r="H22" s="791"/>
      <c r="I22" s="791"/>
      <c r="J22" s="791"/>
      <c r="K22" s="33"/>
      <c r="L22" s="33"/>
    </row>
    <row r="23" spans="3:15">
      <c r="C23" s="857">
        <v>4</v>
      </c>
      <c r="D23" s="791"/>
      <c r="E23" s="791"/>
      <c r="F23" s="791"/>
      <c r="G23" s="791"/>
      <c r="H23" s="791"/>
      <c r="I23" s="791"/>
      <c r="J23" s="791"/>
      <c r="K23" s="33"/>
      <c r="L23" s="33"/>
    </row>
    <row r="24" spans="3:15">
      <c r="C24" s="857">
        <v>5</v>
      </c>
      <c r="D24" s="791"/>
      <c r="E24" s="791" t="str">
        <f>LEFT(D20,20)</f>
        <v>FGH234</v>
      </c>
      <c r="F24" s="900" t="s">
        <v>859</v>
      </c>
      <c r="G24" s="791"/>
      <c r="H24" s="791"/>
      <c r="I24" s="791"/>
      <c r="J24" s="791"/>
      <c r="K24" s="33"/>
      <c r="L24" s="33"/>
    </row>
    <row r="25" spans="3:15">
      <c r="C25" s="857">
        <v>6</v>
      </c>
      <c r="D25" s="791"/>
      <c r="E25" s="791"/>
      <c r="F25" s="791"/>
      <c r="G25" s="791"/>
      <c r="H25" s="791"/>
      <c r="I25" s="791"/>
      <c r="J25" s="791"/>
      <c r="K25" s="33"/>
      <c r="L25" s="33"/>
    </row>
    <row r="26" spans="3:15">
      <c r="C26" s="857">
        <v>7</v>
      </c>
      <c r="D26" s="791"/>
      <c r="E26" s="791"/>
      <c r="F26" s="791"/>
      <c r="G26" s="791"/>
      <c r="H26" s="791"/>
      <c r="I26" s="791"/>
      <c r="J26" s="791"/>
      <c r="K26" s="33"/>
      <c r="L26" s="33"/>
    </row>
    <row r="27" spans="3:15"/>
    <row r="28" spans="3:15">
      <c r="C28" s="1585" t="s">
        <v>836</v>
      </c>
      <c r="D28" s="1585"/>
      <c r="E28" s="1585"/>
      <c r="F28" s="1585"/>
      <c r="G28" s="1585"/>
      <c r="H28" s="1585"/>
      <c r="I28" s="1585"/>
      <c r="J28" s="1585"/>
      <c r="K28" s="1585"/>
      <c r="L28" s="1585"/>
      <c r="M28" s="1585"/>
      <c r="N28" s="1585"/>
      <c r="O28" s="1585"/>
    </row>
    <row r="29" spans="3:15" ht="13" thickBot="1"/>
    <row r="30" spans="3:15" ht="13.5" thickTop="1" thickBot="1">
      <c r="C30" s="857"/>
      <c r="D30" s="948" t="s">
        <v>1363</v>
      </c>
      <c r="E30" s="857" t="s">
        <v>1364</v>
      </c>
      <c r="F30" s="857" t="s">
        <v>1473</v>
      </c>
      <c r="G30" s="857" t="s">
        <v>1474</v>
      </c>
      <c r="H30" s="857" t="s">
        <v>1475</v>
      </c>
      <c r="I30" s="328"/>
      <c r="M30" s="1521" t="str">
        <f ca="1">OFFSET(ad_first,OFFSET(ads_top,ROW(ads_fn_LEFT)-1,2),0)</f>
        <v>Review how financial statements can be modelled in spreadsheets - attend one of our workshops</v>
      </c>
      <c r="N30" s="1507"/>
      <c r="O30" s="1508"/>
    </row>
    <row r="31" spans="3:15" ht="13" thickBot="1">
      <c r="C31" s="949">
        <v>1</v>
      </c>
      <c r="D31" s="1217" t="s">
        <v>860</v>
      </c>
      <c r="E31" s="877"/>
      <c r="F31" s="791" t="str">
        <f>LEFT(D31,3)</f>
        <v>Jan</v>
      </c>
      <c r="G31" s="900" t="s">
        <v>191</v>
      </c>
      <c r="H31" s="791"/>
      <c r="I31" s="83"/>
      <c r="M31" s="1509"/>
      <c r="N31" s="1510"/>
      <c r="O31" s="1511"/>
    </row>
    <row r="32" spans="3:15">
      <c r="C32" s="857">
        <v>2</v>
      </c>
      <c r="D32" s="1218" t="s">
        <v>861</v>
      </c>
      <c r="E32" s="808"/>
      <c r="F32" s="791" t="str">
        <f>LEFT(D32,3)</f>
        <v>Feb</v>
      </c>
      <c r="G32" s="1138" t="s">
        <v>192</v>
      </c>
      <c r="H32" s="791"/>
      <c r="I32" s="83"/>
      <c r="M32" s="1509"/>
      <c r="N32" s="1510"/>
      <c r="O32" s="1511"/>
    </row>
    <row r="33" spans="3:15">
      <c r="C33" s="857">
        <v>3</v>
      </c>
      <c r="D33" s="808" t="s">
        <v>182</v>
      </c>
      <c r="E33" s="808"/>
      <c r="F33" s="791" t="str">
        <f t="shared" ref="F33:F42" si="0">LEFT(D33,3)</f>
        <v>Mar</v>
      </c>
      <c r="G33" s="1138" t="s">
        <v>193</v>
      </c>
      <c r="H33" s="791"/>
      <c r="I33" s="83"/>
      <c r="M33" s="1509"/>
      <c r="N33" s="1510"/>
      <c r="O33" s="1511"/>
    </row>
    <row r="34" spans="3:15" ht="13" thickBot="1">
      <c r="C34" s="857">
        <v>4</v>
      </c>
      <c r="D34" s="808" t="s">
        <v>183</v>
      </c>
      <c r="E34" s="808"/>
      <c r="F34" s="791" t="str">
        <f t="shared" si="0"/>
        <v>Apr</v>
      </c>
      <c r="G34" s="1138" t="s">
        <v>194</v>
      </c>
      <c r="H34" s="791"/>
      <c r="I34" s="83"/>
      <c r="M34" s="1512"/>
      <c r="N34" s="1513"/>
      <c r="O34" s="1514"/>
    </row>
    <row r="35" spans="3:15" ht="13" thickTop="1">
      <c r="C35" s="857">
        <v>5</v>
      </c>
      <c r="D35" s="808" t="s">
        <v>1375</v>
      </c>
      <c r="E35" s="808"/>
      <c r="F35" s="791" t="str">
        <f t="shared" si="0"/>
        <v>May</v>
      </c>
      <c r="G35" s="1138" t="s">
        <v>195</v>
      </c>
      <c r="H35" s="791"/>
      <c r="I35" s="83"/>
      <c r="M35" s="1310"/>
      <c r="N35" s="1311"/>
      <c r="O35" s="1311"/>
    </row>
    <row r="36" spans="3:15">
      <c r="C36" s="857">
        <v>6</v>
      </c>
      <c r="D36" s="808" t="s">
        <v>184</v>
      </c>
      <c r="E36" s="808"/>
      <c r="F36" s="791" t="str">
        <f t="shared" si="0"/>
        <v>Jun</v>
      </c>
      <c r="G36" s="1138" t="s">
        <v>196</v>
      </c>
      <c r="H36" s="791"/>
      <c r="I36" s="83"/>
    </row>
    <row r="37" spans="3:15">
      <c r="C37" s="857">
        <v>7</v>
      </c>
      <c r="D37" s="808" t="s">
        <v>185</v>
      </c>
      <c r="E37" s="808"/>
      <c r="F37" s="791" t="str">
        <f t="shared" si="0"/>
        <v>Jul</v>
      </c>
      <c r="G37" s="1138" t="s">
        <v>197</v>
      </c>
      <c r="H37" s="791"/>
      <c r="I37" s="83"/>
    </row>
    <row r="38" spans="3:15">
      <c r="C38" s="857">
        <v>8</v>
      </c>
      <c r="D38" s="808" t="s">
        <v>186</v>
      </c>
      <c r="E38" s="808"/>
      <c r="F38" s="791" t="str">
        <f t="shared" si="0"/>
        <v>Aug</v>
      </c>
      <c r="G38" s="1138" t="s">
        <v>198</v>
      </c>
      <c r="H38" s="791"/>
      <c r="I38" s="83"/>
    </row>
    <row r="39" spans="3:15">
      <c r="C39" s="857">
        <v>9</v>
      </c>
      <c r="D39" s="808" t="s">
        <v>187</v>
      </c>
      <c r="E39" s="808"/>
      <c r="F39" s="791" t="str">
        <f t="shared" si="0"/>
        <v>Sep</v>
      </c>
      <c r="G39" s="1138" t="s">
        <v>199</v>
      </c>
      <c r="H39" s="791"/>
      <c r="I39" s="83"/>
    </row>
    <row r="40" spans="3:15">
      <c r="C40" s="857">
        <v>10</v>
      </c>
      <c r="D40" s="808" t="s">
        <v>188</v>
      </c>
      <c r="E40" s="808"/>
      <c r="F40" s="791" t="str">
        <f t="shared" si="0"/>
        <v>Oct</v>
      </c>
      <c r="G40" s="1138" t="s">
        <v>200</v>
      </c>
      <c r="H40" s="791"/>
      <c r="I40" s="83"/>
    </row>
    <row r="41" spans="3:15">
      <c r="C41" s="857">
        <v>11</v>
      </c>
      <c r="D41" s="808" t="s">
        <v>189</v>
      </c>
      <c r="E41" s="808"/>
      <c r="F41" s="791" t="str">
        <f t="shared" si="0"/>
        <v>Nov</v>
      </c>
      <c r="G41" s="1138" t="s">
        <v>201</v>
      </c>
      <c r="H41" s="791"/>
      <c r="I41" s="83"/>
    </row>
    <row r="42" spans="3:15">
      <c r="C42" s="857">
        <v>12</v>
      </c>
      <c r="D42" s="808" t="s">
        <v>190</v>
      </c>
      <c r="E42" s="808"/>
      <c r="F42" s="791" t="str">
        <f t="shared" si="0"/>
        <v>Dec</v>
      </c>
      <c r="G42" s="1138" t="s">
        <v>202</v>
      </c>
      <c r="H42" s="791"/>
      <c r="I42" s="83"/>
    </row>
    <row r="43" spans="3:15"/>
    <row r="44" spans="3:15">
      <c r="C44" s="1700" t="s">
        <v>837</v>
      </c>
      <c r="D44" s="1700"/>
      <c r="E44" s="1700"/>
      <c r="F44" s="1700"/>
      <c r="G44" s="1700"/>
      <c r="H44" s="1700"/>
      <c r="I44" s="1468"/>
    </row>
    <row r="45" spans="3:15" s="144" customFormat="1">
      <c r="C45" s="1393"/>
      <c r="D45" s="1393"/>
      <c r="E45" s="1393"/>
      <c r="F45" s="1393"/>
      <c r="G45" s="1393"/>
      <c r="H45" s="1393"/>
      <c r="I45" s="1394"/>
    </row>
    <row r="46" spans="3:15" s="144" customFormat="1" ht="13">
      <c r="C46" s="1395" t="s">
        <v>726</v>
      </c>
      <c r="D46" s="1393"/>
      <c r="E46" s="1393"/>
      <c r="F46" s="1393"/>
      <c r="G46" s="1393"/>
      <c r="H46" s="1393"/>
      <c r="I46" s="1394"/>
    </row>
    <row r="47" spans="3:15" s="144" customFormat="1">
      <c r="C47" s="1393"/>
      <c r="D47" s="1393"/>
      <c r="E47" s="1393"/>
      <c r="F47" s="1393"/>
      <c r="G47" s="1393"/>
      <c r="H47" s="1393"/>
      <c r="I47" s="1394"/>
    </row>
    <row r="48" spans="3:15" s="144" customFormat="1">
      <c r="C48" s="1712" t="s">
        <v>1106</v>
      </c>
      <c r="D48" s="1518"/>
      <c r="E48" s="1518"/>
      <c r="F48" s="1518"/>
      <c r="G48" s="1518"/>
      <c r="H48" s="1518"/>
      <c r="I48" s="1518"/>
      <c r="J48" s="1518"/>
      <c r="K48" s="1518"/>
      <c r="L48" s="1518"/>
      <c r="M48" s="1518"/>
      <c r="N48" s="1518"/>
      <c r="O48" s="1518"/>
    </row>
    <row r="49" spans="3:15" s="144" customFormat="1">
      <c r="C49" s="1518"/>
      <c r="D49" s="1518"/>
      <c r="E49" s="1518"/>
      <c r="F49" s="1518"/>
      <c r="G49" s="1518"/>
      <c r="H49" s="1518"/>
      <c r="I49" s="1518"/>
      <c r="J49" s="1518"/>
      <c r="K49" s="1518"/>
      <c r="L49" s="1518"/>
      <c r="M49" s="1518"/>
      <c r="N49" s="1518"/>
      <c r="O49" s="1518"/>
    </row>
    <row r="50" spans="3:15" s="144" customFormat="1">
      <c r="C50" s="1393"/>
      <c r="D50" s="1393"/>
      <c r="E50" s="1393"/>
      <c r="F50" s="1393"/>
      <c r="G50" s="1393"/>
      <c r="H50" s="1393"/>
      <c r="I50" s="1394"/>
    </row>
    <row r="51" spans="3:15" s="144" customFormat="1" ht="13" thickBot="1">
      <c r="C51" s="1412"/>
      <c r="D51" s="1412" t="s">
        <v>1363</v>
      </c>
      <c r="E51" s="1412" t="s">
        <v>1364</v>
      </c>
      <c r="F51" s="1412" t="s">
        <v>1473</v>
      </c>
      <c r="G51" s="1412" t="s">
        <v>1474</v>
      </c>
      <c r="H51" s="1423" t="s">
        <v>1475</v>
      </c>
      <c r="I51" s="1413" t="s">
        <v>1476</v>
      </c>
      <c r="J51" s="328"/>
      <c r="K51" s="328"/>
      <c r="L51" s="328"/>
    </row>
    <row r="52" spans="3:15" s="144" customFormat="1" ht="13" thickBot="1">
      <c r="C52" s="1412">
        <v>1</v>
      </c>
      <c r="D52" s="1410" t="s">
        <v>1109</v>
      </c>
      <c r="E52" s="1410"/>
      <c r="F52" s="1409"/>
      <c r="G52" s="1417"/>
      <c r="H52" s="1420">
        <v>2</v>
      </c>
      <c r="I52" s="1424"/>
      <c r="J52" s="1315"/>
      <c r="K52" s="1315"/>
      <c r="L52" s="1315"/>
    </row>
    <row r="53" spans="3:15" s="144" customFormat="1" ht="13" thickBot="1">
      <c r="C53" s="1412">
        <f>C52+1</f>
        <v>2</v>
      </c>
      <c r="D53" s="1410"/>
      <c r="E53" s="1414"/>
      <c r="F53" s="1410"/>
      <c r="G53" s="1410"/>
      <c r="H53" s="1419"/>
      <c r="I53" s="1415"/>
      <c r="J53" s="1315"/>
      <c r="K53" s="1315"/>
      <c r="L53" s="1315"/>
    </row>
    <row r="54" spans="3:15" s="144" customFormat="1" ht="13" thickBot="1">
      <c r="C54" s="1412">
        <f>C53+1</f>
        <v>3</v>
      </c>
      <c r="D54" s="1417" t="s">
        <v>1107</v>
      </c>
      <c r="E54" s="1411" t="s">
        <v>1108</v>
      </c>
      <c r="F54" s="1418"/>
      <c r="G54" s="1410"/>
      <c r="H54" s="1410"/>
      <c r="I54" s="1415"/>
      <c r="J54" s="1315"/>
      <c r="K54" s="1315"/>
      <c r="L54" s="1315"/>
    </row>
    <row r="55" spans="3:15" s="144" customFormat="1">
      <c r="C55" s="1412">
        <f>C54+1</f>
        <v>4</v>
      </c>
      <c r="D55" s="1410"/>
      <c r="E55" s="1419"/>
      <c r="F55" s="1410"/>
      <c r="G55" s="1410"/>
      <c r="H55" s="1410"/>
      <c r="I55" s="1415"/>
      <c r="J55" s="1315"/>
      <c r="K55" s="1315"/>
      <c r="L55" s="1315"/>
    </row>
    <row r="56" spans="3:15" s="144" customFormat="1">
      <c r="C56" s="1412">
        <f>C55+1</f>
        <v>5</v>
      </c>
      <c r="D56" s="1410" t="s">
        <v>418</v>
      </c>
      <c r="E56" s="1422" t="str">
        <f>RIGHT(E54,H52)</f>
        <v>xt</v>
      </c>
      <c r="F56" s="796"/>
      <c r="G56" s="1422"/>
      <c r="H56" s="1421" t="s">
        <v>1110</v>
      </c>
      <c r="I56" s="1415"/>
      <c r="J56" s="1315"/>
      <c r="K56" s="1315"/>
      <c r="L56" s="1315"/>
    </row>
    <row r="57" spans="3:15" s="144" customFormat="1">
      <c r="C57" s="1412">
        <f>C56+1</f>
        <v>6</v>
      </c>
      <c r="D57" s="1410"/>
      <c r="E57" s="1410"/>
      <c r="F57" s="1410"/>
      <c r="G57" s="1410"/>
      <c r="H57" s="1410"/>
      <c r="I57" s="1415"/>
      <c r="J57" s="1315"/>
      <c r="K57" s="1315"/>
      <c r="L57" s="1315"/>
    </row>
    <row r="58" spans="3:15" s="144" customFormat="1">
      <c r="C58" s="1393"/>
      <c r="D58" s="1393"/>
      <c r="E58" s="1393"/>
      <c r="F58" s="1393"/>
      <c r="G58" s="1393"/>
      <c r="H58" s="1393"/>
      <c r="I58" s="1394"/>
    </row>
    <row r="59" spans="3:15" s="144" customFormat="1" ht="13">
      <c r="C59" s="1395" t="s">
        <v>463</v>
      </c>
      <c r="D59" s="1393"/>
      <c r="E59" s="1393"/>
      <c r="F59" s="1393"/>
      <c r="G59" s="1393"/>
      <c r="H59" s="1393"/>
      <c r="I59" s="1394"/>
    </row>
    <row r="60" spans="3:15" s="144" customFormat="1">
      <c r="C60" s="1393"/>
      <c r="D60" s="1393"/>
      <c r="E60" s="1393"/>
      <c r="F60" s="1393"/>
      <c r="G60" s="1393"/>
      <c r="H60" s="1393"/>
      <c r="I60" s="1394"/>
    </row>
    <row r="61" spans="3:15" s="144" customFormat="1">
      <c r="C61" s="1712" t="s">
        <v>1136</v>
      </c>
      <c r="D61" s="1518"/>
      <c r="E61" s="1518"/>
      <c r="F61" s="1518"/>
      <c r="G61" s="1518"/>
      <c r="H61" s="1518"/>
      <c r="I61" s="1518"/>
      <c r="J61" s="1518"/>
      <c r="K61" s="1518"/>
      <c r="L61" s="1518"/>
      <c r="M61" s="1518"/>
      <c r="N61" s="1518"/>
      <c r="O61" s="1518"/>
    </row>
    <row r="62" spans="3:15" s="144" customFormat="1">
      <c r="C62" s="1712"/>
      <c r="D62" s="1518"/>
      <c r="E62" s="1518"/>
      <c r="F62" s="1518"/>
      <c r="G62" s="1518"/>
      <c r="H62" s="1518"/>
      <c r="I62" s="1518"/>
      <c r="J62" s="1518"/>
      <c r="K62" s="1518"/>
      <c r="L62" s="1518"/>
      <c r="M62" s="1518"/>
      <c r="N62" s="1518"/>
      <c r="O62" s="1518"/>
    </row>
    <row r="63" spans="3:15" s="144" customFormat="1">
      <c r="C63" s="1518"/>
      <c r="D63" s="1518"/>
      <c r="E63" s="1518"/>
      <c r="F63" s="1518"/>
      <c r="G63" s="1518"/>
      <c r="H63" s="1518"/>
      <c r="I63" s="1518"/>
      <c r="J63" s="1518"/>
      <c r="K63" s="1518"/>
      <c r="L63" s="1518"/>
      <c r="M63" s="1518"/>
      <c r="N63" s="1518"/>
      <c r="O63" s="1518"/>
    </row>
    <row r="64" spans="3:15" s="144" customFormat="1">
      <c r="C64" s="1393"/>
      <c r="D64" s="1393"/>
      <c r="E64" s="1393"/>
      <c r="F64" s="1393"/>
      <c r="G64" s="1393"/>
      <c r="H64" s="1393"/>
      <c r="I64" s="1394"/>
    </row>
    <row r="65" spans="3:15" s="144" customFormat="1" ht="13" thickBot="1">
      <c r="C65" s="1412"/>
      <c r="D65" s="1412" t="s">
        <v>1363</v>
      </c>
      <c r="E65" s="1412" t="s">
        <v>1364</v>
      </c>
      <c r="F65" s="1423" t="s">
        <v>1473</v>
      </c>
      <c r="G65" s="1412" t="s">
        <v>1474</v>
      </c>
      <c r="H65" s="1412" t="s">
        <v>1475</v>
      </c>
      <c r="I65" s="1413" t="s">
        <v>1476</v>
      </c>
      <c r="J65" s="926" t="s">
        <v>497</v>
      </c>
      <c r="K65" s="926" t="s">
        <v>1511</v>
      </c>
    </row>
    <row r="66" spans="3:15" s="144" customFormat="1" ht="13" thickBot="1">
      <c r="C66" s="1412">
        <v>1</v>
      </c>
      <c r="D66" s="1410" t="s">
        <v>1137</v>
      </c>
      <c r="E66" s="1417"/>
      <c r="F66" s="1420">
        <v>2</v>
      </c>
      <c r="G66" s="1418"/>
      <c r="H66" s="1410"/>
      <c r="I66" s="1415"/>
      <c r="J66" s="1416"/>
      <c r="K66" s="1416"/>
    </row>
    <row r="67" spans="3:15" s="144" customFormat="1" ht="13" thickBot="1">
      <c r="C67" s="1412">
        <f>C66+1</f>
        <v>2</v>
      </c>
      <c r="D67" s="1410"/>
      <c r="E67" s="1410"/>
      <c r="F67" s="1426"/>
      <c r="G67" s="1410"/>
      <c r="H67" s="1410"/>
      <c r="I67" s="1415"/>
      <c r="J67" s="1416"/>
      <c r="K67" s="1416"/>
    </row>
    <row r="68" spans="3:15" s="144" customFormat="1" ht="13" thickBot="1">
      <c r="C68" s="1412">
        <f t="shared" ref="C68:C74" si="1">C67+1</f>
        <v>3</v>
      </c>
      <c r="D68" s="1410" t="s">
        <v>1138</v>
      </c>
      <c r="E68" s="1417"/>
      <c r="F68" s="1425">
        <v>3</v>
      </c>
      <c r="G68" s="1418"/>
      <c r="H68" s="1410"/>
      <c r="I68" s="1415"/>
      <c r="J68" s="1416"/>
      <c r="K68" s="1416"/>
    </row>
    <row r="69" spans="3:15" s="144" customFormat="1">
      <c r="C69" s="1412">
        <f t="shared" si="1"/>
        <v>4</v>
      </c>
      <c r="D69" s="1410"/>
      <c r="E69" s="1410"/>
      <c r="F69" s="1419"/>
      <c r="G69" s="1410"/>
      <c r="H69" s="1410"/>
      <c r="I69" s="1415"/>
      <c r="J69" s="1416"/>
      <c r="K69" s="1416"/>
    </row>
    <row r="70" spans="3:15" s="144" customFormat="1" ht="13" thickBot="1">
      <c r="C70" s="1412">
        <f t="shared" si="1"/>
        <v>5</v>
      </c>
      <c r="D70" s="1410"/>
      <c r="E70" s="1414"/>
      <c r="F70" s="1410"/>
      <c r="G70" s="1410"/>
      <c r="H70" s="1410"/>
      <c r="I70" s="1415"/>
      <c r="J70" s="1416"/>
      <c r="K70" s="1416"/>
    </row>
    <row r="71" spans="3:15" s="144" customFormat="1" ht="13" thickBot="1">
      <c r="C71" s="1412">
        <f t="shared" si="1"/>
        <v>6</v>
      </c>
      <c r="D71" s="1417" t="s">
        <v>1139</v>
      </c>
      <c r="E71" s="1411" t="s">
        <v>1140</v>
      </c>
      <c r="F71" s="1418"/>
      <c r="G71" s="1410"/>
      <c r="H71" s="1410"/>
      <c r="I71" s="1415"/>
      <c r="J71" s="1416"/>
      <c r="K71" s="1416"/>
    </row>
    <row r="72" spans="3:15" s="144" customFormat="1">
      <c r="C72" s="1412">
        <f t="shared" si="1"/>
        <v>7</v>
      </c>
      <c r="D72" s="1410"/>
      <c r="E72" s="1419"/>
      <c r="F72" s="1410"/>
      <c r="G72" s="1410"/>
      <c r="H72" s="1410"/>
      <c r="I72" s="1415"/>
      <c r="J72" s="1416"/>
      <c r="K72" s="1416"/>
    </row>
    <row r="73" spans="3:15" s="144" customFormat="1">
      <c r="C73" s="1412">
        <f t="shared" si="1"/>
        <v>8</v>
      </c>
      <c r="D73" s="1410" t="s">
        <v>418</v>
      </c>
      <c r="E73" s="1422" t="str">
        <f>MID(E71,F66,F68)</f>
        <v>BCD</v>
      </c>
      <c r="F73" s="1421" t="s">
        <v>1141</v>
      </c>
      <c r="G73" s="1410"/>
      <c r="H73" s="1410"/>
      <c r="I73" s="1415"/>
      <c r="J73" s="1416"/>
      <c r="K73" s="1416"/>
    </row>
    <row r="74" spans="3:15" s="144" customFormat="1">
      <c r="C74" s="1412">
        <f t="shared" si="1"/>
        <v>9</v>
      </c>
      <c r="D74" s="1410"/>
      <c r="E74" s="1410"/>
      <c r="F74" s="1410"/>
      <c r="G74" s="1410"/>
      <c r="H74" s="1410"/>
      <c r="I74" s="1415"/>
      <c r="J74" s="1416"/>
      <c r="K74" s="1416"/>
    </row>
    <row r="75" spans="3:15" s="144" customFormat="1">
      <c r="C75" s="1393"/>
      <c r="D75" s="1393"/>
      <c r="E75" s="1393"/>
      <c r="F75" s="1393"/>
      <c r="G75" s="1393"/>
      <c r="H75" s="1393"/>
      <c r="I75" s="1394"/>
    </row>
    <row r="76" spans="3:15" s="1427" customFormat="1" ht="13">
      <c r="C76" s="1395" t="s">
        <v>466</v>
      </c>
      <c r="D76" s="1428"/>
      <c r="E76" s="1428"/>
      <c r="F76" s="1428"/>
      <c r="G76" s="1428"/>
      <c r="H76" s="1428"/>
      <c r="I76" s="1429"/>
    </row>
    <row r="77" spans="3:15" s="1427" customFormat="1">
      <c r="C77" s="1428"/>
      <c r="D77" s="1428"/>
      <c r="E77" s="1428"/>
      <c r="F77" s="1428"/>
      <c r="G77" s="1428"/>
      <c r="H77" s="1428"/>
      <c r="I77" s="1429"/>
    </row>
    <row r="78" spans="3:15" s="1427" customFormat="1">
      <c r="C78" s="1712" t="s">
        <v>1142</v>
      </c>
      <c r="D78" s="1518"/>
      <c r="E78" s="1518"/>
      <c r="F78" s="1518"/>
      <c r="G78" s="1518"/>
      <c r="H78" s="1518"/>
      <c r="I78" s="1518"/>
      <c r="J78" s="1518"/>
      <c r="K78" s="1518"/>
      <c r="L78" s="1518"/>
      <c r="M78" s="1518"/>
      <c r="N78" s="1518"/>
      <c r="O78" s="1518"/>
    </row>
    <row r="79" spans="3:15" s="1427" customFormat="1">
      <c r="C79" s="1518"/>
      <c r="D79" s="1518"/>
      <c r="E79" s="1518"/>
      <c r="F79" s="1518"/>
      <c r="G79" s="1518"/>
      <c r="H79" s="1518"/>
      <c r="I79" s="1518"/>
      <c r="J79" s="1518"/>
      <c r="K79" s="1518"/>
      <c r="L79" s="1518"/>
      <c r="M79" s="1518"/>
      <c r="N79" s="1518"/>
      <c r="O79" s="1518"/>
    </row>
    <row r="80" spans="3:15" s="1427" customFormat="1">
      <c r="C80" s="1428"/>
      <c r="D80" s="1428"/>
      <c r="E80" s="1428"/>
      <c r="F80" s="1428"/>
      <c r="G80" s="1428"/>
      <c r="H80" s="1428"/>
      <c r="I80" s="1429"/>
    </row>
    <row r="81" spans="3:15" s="1427" customFormat="1" ht="13" thickBot="1">
      <c r="C81" s="1412"/>
      <c r="D81" s="1423" t="s">
        <v>1363</v>
      </c>
      <c r="E81" s="1412" t="s">
        <v>1364</v>
      </c>
      <c r="F81" s="1412" t="s">
        <v>1473</v>
      </c>
      <c r="G81" s="1412" t="s">
        <v>1474</v>
      </c>
      <c r="H81" s="1412" t="s">
        <v>1475</v>
      </c>
      <c r="I81" s="1413" t="s">
        <v>1476</v>
      </c>
      <c r="J81" s="926" t="s">
        <v>497</v>
      </c>
      <c r="K81" s="926" t="s">
        <v>1511</v>
      </c>
    </row>
    <row r="82" spans="3:15" s="1427" customFormat="1" ht="13" thickBot="1">
      <c r="C82" s="1431">
        <v>1</v>
      </c>
      <c r="D82" s="1432" t="s">
        <v>1143</v>
      </c>
      <c r="E82" s="1418">
        <f>LEN(D82)</f>
        <v>1</v>
      </c>
      <c r="F82" s="1421" t="s">
        <v>1148</v>
      </c>
      <c r="G82" s="1410"/>
      <c r="H82" s="1410"/>
      <c r="I82" s="1415"/>
      <c r="J82" s="1416"/>
      <c r="K82" s="1416"/>
    </row>
    <row r="83" spans="3:15" s="1427" customFormat="1" ht="13" thickBot="1">
      <c r="C83" s="1412">
        <v>2</v>
      </c>
      <c r="D83" s="1433"/>
      <c r="E83" s="1410"/>
      <c r="F83" s="1410"/>
      <c r="G83" s="1410"/>
      <c r="H83" s="1410"/>
      <c r="I83" s="1415"/>
      <c r="J83" s="1416"/>
      <c r="K83" s="1416"/>
    </row>
    <row r="84" spans="3:15" s="1427" customFormat="1" ht="13" thickBot="1">
      <c r="C84" s="1431">
        <v>3</v>
      </c>
      <c r="D84" s="1434" t="s">
        <v>1144</v>
      </c>
      <c r="E84" s="1418">
        <f>LEN(D84)</f>
        <v>2</v>
      </c>
      <c r="F84" s="1421" t="s">
        <v>1149</v>
      </c>
      <c r="G84" s="1410"/>
      <c r="H84" s="1410"/>
      <c r="I84" s="1415"/>
      <c r="J84" s="1416"/>
      <c r="K84" s="1416"/>
    </row>
    <row r="85" spans="3:15" s="1427" customFormat="1" ht="13" thickBot="1">
      <c r="C85" s="1412">
        <v>4</v>
      </c>
      <c r="D85" s="1433"/>
      <c r="E85" s="1410"/>
      <c r="F85" s="1410"/>
      <c r="G85" s="1410"/>
      <c r="H85" s="1410"/>
      <c r="I85" s="1415"/>
      <c r="J85" s="1416"/>
      <c r="K85" s="1416"/>
    </row>
    <row r="86" spans="3:15" s="1427" customFormat="1" ht="13" thickBot="1">
      <c r="C86" s="1431">
        <v>5</v>
      </c>
      <c r="D86" s="1435" t="s">
        <v>1145</v>
      </c>
      <c r="E86" s="1418">
        <f>LEN(D86)</f>
        <v>3</v>
      </c>
      <c r="F86" s="1421" t="s">
        <v>1150</v>
      </c>
      <c r="G86" s="1410"/>
      <c r="H86" s="1410"/>
      <c r="I86" s="1415"/>
      <c r="J86" s="1416"/>
      <c r="K86" s="1416"/>
    </row>
    <row r="87" spans="3:15" s="1427" customFormat="1" ht="13" thickBot="1">
      <c r="C87" s="1412">
        <v>6</v>
      </c>
      <c r="D87" s="1433"/>
      <c r="E87" s="1410"/>
      <c r="F87" s="1410"/>
      <c r="G87" s="1410"/>
      <c r="H87" s="1410"/>
      <c r="I87" s="1415"/>
      <c r="J87" s="1416"/>
      <c r="K87" s="1416"/>
    </row>
    <row r="88" spans="3:15" s="1427" customFormat="1" ht="13" thickBot="1">
      <c r="C88" s="1431">
        <v>7</v>
      </c>
      <c r="D88" s="1436" t="s">
        <v>1146</v>
      </c>
      <c r="E88" s="1418">
        <f>LEN(D88)</f>
        <v>3</v>
      </c>
      <c r="F88" s="1421" t="s">
        <v>1151</v>
      </c>
      <c r="G88" s="1410"/>
      <c r="H88" s="1410" t="s">
        <v>1153</v>
      </c>
      <c r="I88" s="1415"/>
      <c r="J88" s="1416"/>
      <c r="K88" s="1416"/>
    </row>
    <row r="89" spans="3:15" s="1427" customFormat="1" ht="13" thickBot="1">
      <c r="C89" s="1412">
        <v>8</v>
      </c>
      <c r="D89" s="1433"/>
      <c r="E89" s="1410"/>
      <c r="F89" s="1410"/>
      <c r="G89" s="1410"/>
      <c r="H89" s="1410"/>
      <c r="I89" s="1415"/>
      <c r="J89" s="1416"/>
      <c r="K89" s="1416"/>
    </row>
    <row r="90" spans="3:15" s="1427" customFormat="1" ht="13" thickBot="1">
      <c r="C90" s="1431">
        <v>9</v>
      </c>
      <c r="D90" s="1437" t="s">
        <v>1147</v>
      </c>
      <c r="E90" s="1418">
        <f>LEN(D90)</f>
        <v>5</v>
      </c>
      <c r="F90" s="1421" t="s">
        <v>1152</v>
      </c>
      <c r="G90" s="1410"/>
      <c r="H90" s="1410" t="s">
        <v>1154</v>
      </c>
      <c r="I90" s="1415"/>
      <c r="J90" s="1416"/>
      <c r="K90" s="1416"/>
    </row>
    <row r="91" spans="3:15" s="1427" customFormat="1">
      <c r="C91" s="1412">
        <v>10</v>
      </c>
      <c r="D91" s="1430"/>
      <c r="E91" s="1416"/>
      <c r="F91" s="1410"/>
      <c r="G91" s="1410"/>
      <c r="H91" s="1410"/>
      <c r="I91" s="1415"/>
      <c r="J91" s="1416"/>
      <c r="K91" s="1416"/>
    </row>
    <row r="92" spans="3:15" s="1427" customFormat="1"/>
    <row r="93" spans="3:15">
      <c r="C93" s="1697" t="str">
        <f>back_to_index</f>
        <v>Back to contents</v>
      </c>
      <c r="D93" s="1697"/>
      <c r="G93" s="1530" t="str">
        <f>page_prefix &amp; page_fn_LEFT&amp; page_suffix</f>
        <v>- Page 30 -</v>
      </c>
      <c r="H93" s="1530"/>
      <c r="I93" s="1530"/>
      <c r="J93" s="1481"/>
      <c r="K93" s="343"/>
      <c r="L93" s="343"/>
      <c r="N93" s="1640" t="str">
        <f>back_to_top</f>
        <v>Back to top</v>
      </c>
      <c r="O93" s="1640"/>
    </row>
    <row r="94" spans="3:15">
      <c r="G94" s="1530" t="str">
        <f>copyright</f>
        <v>Copyright (c) 2009 Tykoh Group Pty Limited</v>
      </c>
      <c r="H94" s="1530"/>
      <c r="I94" s="1530"/>
      <c r="J94" s="1481"/>
      <c r="K94" s="343"/>
      <c r="L94" s="343"/>
    </row>
    <row r="95" spans="3:15">
      <c r="G95" s="1452" t="str">
        <f>home_address</f>
        <v>www.tykoh.com</v>
      </c>
      <c r="H95" s="1452"/>
      <c r="I95" s="1452"/>
      <c r="J95" s="1452"/>
      <c r="K95" s="343"/>
      <c r="L95" s="343"/>
    </row>
    <row r="96" spans="3:15"/>
  </sheetData>
  <sheetProtection algorithmName="SHA-512" hashValue="Vl/1xg+0XIWUEK065IHT7cXi0z92EiHhuxtEAFOiH0P48h0G/3MCM/K6TKfXCGNJdKXNpBfTte5K4FL0++mH0g==" saltValue="HuGuer6wsAQ82sCPUCkvsw==" spinCount="100000" sheet="1" objects="1" scenarios="1"/>
  <mergeCells count="16">
    <mergeCell ref="C28:O28"/>
    <mergeCell ref="C7:J9"/>
    <mergeCell ref="C11:J12"/>
    <mergeCell ref="C14:O15"/>
    <mergeCell ref="M4:O8"/>
    <mergeCell ref="C16:O17"/>
    <mergeCell ref="G95:J95"/>
    <mergeCell ref="C93:D93"/>
    <mergeCell ref="G93:J93"/>
    <mergeCell ref="N93:O93"/>
    <mergeCell ref="G94:J94"/>
    <mergeCell ref="M30:O34"/>
    <mergeCell ref="C44:I44"/>
    <mergeCell ref="C48:O49"/>
    <mergeCell ref="C61:O63"/>
    <mergeCell ref="C78:O79"/>
  </mergeCells>
  <phoneticPr fontId="2" type="noConversion"/>
  <dataValidations count="2">
    <dataValidation type="list" allowBlank="1" showInputMessage="1" showErrorMessage="1" sqref="H52" xr:uid="{00000000-0002-0000-2A00-000000000000}">
      <formula1>"1,2,10,100"</formula1>
    </dataValidation>
    <dataValidation type="list" allowBlank="1" showInputMessage="1" showErrorMessage="1" sqref="F66 F68" xr:uid="{00000000-0002-0000-2A00-000001000000}">
      <formula1>"1,2,3,4,5,6"</formula1>
    </dataValidation>
  </dataValidations>
  <hyperlinks>
    <hyperlink ref="C44:I44" location="hh_Combine_2" display="[For a more complex example using the LEFT function click here.]" xr:uid="{00000000-0004-0000-2A00-000000000000}"/>
    <hyperlink ref="N93:O93" location="hh_fn_LEFT" display="hh_fn_LEFT" xr:uid="{00000000-0004-0000-2A00-000001000000}"/>
    <hyperlink ref="C93:D93" location="hh_index" display="hh_index" xr:uid="{00000000-0004-0000-2A00-000002000000}"/>
    <hyperlink ref="G95:J95" r:id="rId1" display="https://www.tykoh.com/" xr:uid="{00000000-0004-0000-2A00-000003000000}"/>
  </hyperlinks>
  <pageMargins left="0.75" right="0.75" top="1" bottom="1" header="0.5" footer="0.5"/>
  <pageSetup scale="61" orientation="portrait" r:id="rId2"/>
  <headerFooter alignWithMargins="0"/>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9">
    <pageSetUpPr fitToPage="1"/>
  </sheetPr>
  <dimension ref="C1:O122"/>
  <sheetViews>
    <sheetView showGridLines="0" showRowColHeaders="0" topLeftCell="A103" zoomScaleNormal="100" workbookViewId="0">
      <selection activeCell="G121" sqref="G121:K121"/>
    </sheetView>
  </sheetViews>
  <sheetFormatPr defaultColWidth="0" defaultRowHeight="12.5" zeroHeight="1"/>
  <cols>
    <col min="1" max="2" width="1" style="812" customWidth="1"/>
    <col min="3" max="15" width="9.1796875" style="812" customWidth="1"/>
    <col min="16" max="16" width="1.81640625" style="812" customWidth="1"/>
    <col min="17" max="16384" width="0" style="812" hidden="1"/>
  </cols>
  <sheetData>
    <row r="1" spans="3:15" customFormat="1"/>
    <row r="2" spans="3:15" customFormat="1">
      <c r="C2" s="105"/>
      <c r="D2" s="105"/>
      <c r="E2" s="105"/>
      <c r="F2" s="105"/>
      <c r="G2" s="105"/>
      <c r="H2" s="105"/>
      <c r="I2" s="105"/>
      <c r="J2" s="105"/>
      <c r="K2" s="105"/>
      <c r="L2" s="105"/>
      <c r="M2" s="105"/>
      <c r="N2" s="105"/>
      <c r="O2" s="105"/>
    </row>
    <row r="3" spans="3:15" customFormat="1" ht="16" thickBot="1">
      <c r="C3" s="96" t="s">
        <v>427</v>
      </c>
    </row>
    <row r="4" spans="3:15" customFormat="1" ht="16" thickTop="1">
      <c r="C4" s="96"/>
      <c r="M4" s="1521" t="str">
        <f ca="1">OFFSET(ad_first,OFFSET(ads_top,ROW(ads_fn_LOOKUP)-1,1),0)</f>
        <v>Our workshops review the finance principles and assumptions underlying the main spreadsheet financial functions.</v>
      </c>
      <c r="N4" s="1522"/>
      <c r="O4" s="1523"/>
    </row>
    <row r="5" spans="3:15">
      <c r="C5" s="1543" t="s">
        <v>296</v>
      </c>
      <c r="D5" s="1518"/>
      <c r="E5" s="1518"/>
      <c r="F5" s="1518"/>
      <c r="G5" s="1518"/>
      <c r="H5" s="1518"/>
      <c r="I5" s="1518"/>
      <c r="J5" s="1518"/>
      <c r="K5" s="1518"/>
      <c r="L5" s="777"/>
      <c r="M5" s="1524"/>
      <c r="N5" s="1525"/>
      <c r="O5" s="1526"/>
    </row>
    <row r="6" spans="3:15">
      <c r="C6" s="1518"/>
      <c r="D6" s="1518"/>
      <c r="E6" s="1518"/>
      <c r="F6" s="1518"/>
      <c r="G6" s="1518"/>
      <c r="H6" s="1518"/>
      <c r="I6" s="1518"/>
      <c r="J6" s="1518"/>
      <c r="K6" s="1518"/>
      <c r="L6" s="777"/>
      <c r="M6" s="1524"/>
      <c r="N6" s="1525"/>
      <c r="O6" s="1526"/>
    </row>
    <row r="7" spans="3:15">
      <c r="C7" s="1518"/>
      <c r="D7" s="1518"/>
      <c r="E7" s="1518"/>
      <c r="F7" s="1518"/>
      <c r="G7" s="1518"/>
      <c r="H7" s="1518"/>
      <c r="I7" s="1518"/>
      <c r="J7" s="1518"/>
      <c r="K7" s="1518"/>
      <c r="L7" s="777"/>
      <c r="M7" s="1524"/>
      <c r="N7" s="1525"/>
      <c r="O7" s="1526"/>
    </row>
    <row r="8" spans="3:15" ht="13" thickBot="1">
      <c r="C8" s="1518"/>
      <c r="D8" s="1518"/>
      <c r="E8" s="1518"/>
      <c r="F8" s="1518"/>
      <c r="G8" s="1518"/>
      <c r="H8" s="1518"/>
      <c r="I8" s="1518"/>
      <c r="J8" s="1518"/>
      <c r="K8" s="1518"/>
      <c r="L8" s="777"/>
      <c r="M8" s="1527"/>
      <c r="N8" s="1528"/>
      <c r="O8" s="1529"/>
    </row>
    <row r="9" spans="3:15" ht="13" thickTop="1">
      <c r="C9" s="1518"/>
      <c r="D9" s="1518"/>
      <c r="E9" s="1518"/>
      <c r="F9" s="1518"/>
      <c r="G9" s="1518"/>
      <c r="H9" s="1518"/>
      <c r="I9" s="1518"/>
      <c r="J9" s="1518"/>
      <c r="K9" s="1518"/>
      <c r="L9" s="777"/>
      <c r="M9" s="1314"/>
      <c r="N9" s="1314"/>
      <c r="O9" s="1314"/>
    </row>
    <row r="10" spans="3:15"/>
    <row r="11" spans="3:15">
      <c r="C11" s="812" t="s">
        <v>484</v>
      </c>
    </row>
    <row r="12" spans="3:15"/>
    <row r="13" spans="3:15">
      <c r="C13" s="985" t="s">
        <v>1157</v>
      </c>
      <c r="D13" s="985"/>
      <c r="E13" s="985"/>
      <c r="F13" s="985"/>
      <c r="G13" s="985"/>
      <c r="H13" s="985"/>
      <c r="I13" s="985"/>
      <c r="J13" s="985"/>
      <c r="K13" s="985"/>
      <c r="L13" s="985"/>
      <c r="M13" s="985"/>
      <c r="N13" s="985"/>
      <c r="O13" s="985"/>
    </row>
    <row r="14" spans="3:15">
      <c r="C14" s="985"/>
      <c r="D14" s="985"/>
      <c r="E14" s="985"/>
      <c r="F14" s="985"/>
      <c r="G14" s="985"/>
      <c r="H14" s="985"/>
      <c r="I14" s="985"/>
      <c r="J14" s="985"/>
      <c r="K14" s="985"/>
      <c r="L14" s="985"/>
      <c r="M14" s="985"/>
      <c r="N14" s="985"/>
      <c r="O14" s="985"/>
    </row>
    <row r="15" spans="3:15">
      <c r="C15" s="986" t="s">
        <v>1159</v>
      </c>
      <c r="D15" s="985"/>
      <c r="E15" s="985"/>
      <c r="F15" s="985"/>
      <c r="G15" s="985"/>
      <c r="H15" s="985"/>
      <c r="I15" s="985"/>
      <c r="J15" s="985"/>
      <c r="K15" s="985"/>
      <c r="L15" s="985"/>
      <c r="M15" s="985"/>
      <c r="N15" s="985"/>
      <c r="O15" s="985"/>
    </row>
    <row r="16" spans="3:15" ht="4.5" customHeight="1">
      <c r="C16" s="985"/>
      <c r="D16" s="985"/>
      <c r="E16" s="985"/>
      <c r="F16" s="985"/>
      <c r="G16" s="985"/>
      <c r="H16" s="985"/>
      <c r="I16" s="985"/>
      <c r="J16" s="985"/>
      <c r="K16" s="985"/>
      <c r="L16" s="985"/>
      <c r="M16" s="985"/>
      <c r="N16" s="985"/>
      <c r="O16" s="985"/>
    </row>
    <row r="17" spans="3:15">
      <c r="C17" s="986" t="s">
        <v>1160</v>
      </c>
      <c r="D17" s="985"/>
      <c r="E17" s="985"/>
      <c r="F17" s="985"/>
      <c r="G17" s="985"/>
      <c r="H17" s="985"/>
      <c r="I17" s="985"/>
      <c r="J17" s="985"/>
      <c r="K17" s="985"/>
      <c r="L17" s="985"/>
      <c r="M17" s="985"/>
      <c r="N17" s="985"/>
      <c r="O17" s="985"/>
    </row>
    <row r="18" spans="3:15" ht="4.5" customHeight="1">
      <c r="C18" s="985"/>
      <c r="D18" s="985"/>
      <c r="E18" s="985"/>
      <c r="F18" s="985"/>
      <c r="G18" s="985"/>
      <c r="H18" s="985"/>
      <c r="I18" s="985"/>
      <c r="J18" s="985"/>
      <c r="K18" s="985"/>
      <c r="L18" s="985"/>
      <c r="M18" s="985"/>
      <c r="N18" s="985"/>
      <c r="O18" s="985"/>
    </row>
    <row r="19" spans="3:15">
      <c r="C19" s="986" t="s">
        <v>930</v>
      </c>
      <c r="D19" s="985"/>
      <c r="E19" s="985"/>
      <c r="F19" s="985"/>
      <c r="G19" s="985"/>
      <c r="H19" s="985"/>
      <c r="I19" s="985"/>
      <c r="J19" s="985"/>
      <c r="K19" s="985"/>
      <c r="L19" s="985"/>
      <c r="M19" s="985"/>
      <c r="N19" s="985"/>
      <c r="O19" s="985"/>
    </row>
    <row r="20" spans="3:15" ht="4.5" customHeight="1">
      <c r="C20" s="985"/>
      <c r="D20" s="985"/>
      <c r="E20" s="985"/>
      <c r="F20" s="985"/>
      <c r="G20" s="985"/>
      <c r="H20" s="985"/>
      <c r="I20" s="985"/>
      <c r="J20" s="985"/>
      <c r="K20" s="985"/>
      <c r="L20" s="985"/>
      <c r="M20" s="985"/>
      <c r="N20" s="985"/>
      <c r="O20" s="985"/>
    </row>
    <row r="21" spans="3:15">
      <c r="C21" s="985" t="s">
        <v>1158</v>
      </c>
      <c r="D21" s="985"/>
      <c r="E21" s="985"/>
      <c r="F21" s="985"/>
      <c r="G21" s="985"/>
      <c r="H21" s="985"/>
      <c r="I21" s="985"/>
      <c r="J21" s="985"/>
      <c r="K21" s="985"/>
      <c r="L21" s="985"/>
      <c r="M21" s="985"/>
      <c r="N21" s="985"/>
      <c r="O21" s="985"/>
    </row>
    <row r="22" spans="3:15"/>
    <row r="23" spans="3:15">
      <c r="C23" s="813"/>
      <c r="D23" s="813" t="s">
        <v>1363</v>
      </c>
      <c r="E23" s="813" t="s">
        <v>1364</v>
      </c>
      <c r="F23" s="813" t="s">
        <v>1473</v>
      </c>
      <c r="G23" s="813" t="s">
        <v>1474</v>
      </c>
      <c r="H23" s="813" t="s">
        <v>1475</v>
      </c>
      <c r="I23" s="813" t="s">
        <v>1476</v>
      </c>
      <c r="J23" s="813" t="s">
        <v>497</v>
      </c>
      <c r="K23" s="813" t="s">
        <v>1511</v>
      </c>
      <c r="L23" s="1312"/>
    </row>
    <row r="24" spans="3:15">
      <c r="C24" s="813">
        <v>1</v>
      </c>
      <c r="D24" s="814"/>
      <c r="E24" s="814"/>
      <c r="F24" s="814"/>
      <c r="G24" s="814"/>
      <c r="H24" s="814"/>
      <c r="I24" s="814"/>
      <c r="J24" s="814"/>
      <c r="K24" s="814"/>
      <c r="L24" s="1327"/>
    </row>
    <row r="25" spans="3:15" ht="13" thickBot="1">
      <c r="C25" s="813">
        <v>2</v>
      </c>
      <c r="D25" s="815" t="s">
        <v>428</v>
      </c>
      <c r="E25" s="813" t="s">
        <v>429</v>
      </c>
      <c r="F25" s="814"/>
      <c r="G25" s="814"/>
      <c r="H25" s="814"/>
      <c r="I25" s="816" t="s">
        <v>777</v>
      </c>
      <c r="J25" s="814"/>
      <c r="K25" s="817" t="s">
        <v>429</v>
      </c>
      <c r="L25" s="1327"/>
    </row>
    <row r="26" spans="3:15" ht="13" thickBot="1">
      <c r="C26" s="818">
        <v>3</v>
      </c>
      <c r="D26" s="819" t="s">
        <v>1364</v>
      </c>
      <c r="E26" s="820">
        <f>LOOKUP(D26,I26:I30,K26:K30)</f>
        <v>0.15</v>
      </c>
      <c r="F26" s="1034" t="s">
        <v>485</v>
      </c>
      <c r="G26" s="814"/>
      <c r="H26" s="821"/>
      <c r="I26" s="822" t="s">
        <v>1363</v>
      </c>
      <c r="J26" s="823"/>
      <c r="K26" s="824">
        <v>0.05</v>
      </c>
      <c r="L26" s="1327"/>
    </row>
    <row r="27" spans="3:15">
      <c r="C27" s="813">
        <v>4</v>
      </c>
      <c r="D27" s="825"/>
      <c r="E27" s="814"/>
      <c r="F27" s="814"/>
      <c r="G27" s="814"/>
      <c r="H27" s="821"/>
      <c r="I27" s="826" t="s">
        <v>1364</v>
      </c>
      <c r="J27" s="823"/>
      <c r="K27" s="827">
        <v>0.15</v>
      </c>
      <c r="L27" s="1327"/>
      <c r="M27" s="828"/>
      <c r="N27" s="828"/>
    </row>
    <row r="28" spans="3:15">
      <c r="C28" s="813">
        <v>5</v>
      </c>
      <c r="D28" s="814"/>
      <c r="E28" s="814"/>
      <c r="F28" s="814"/>
      <c r="G28" s="814"/>
      <c r="H28" s="821"/>
      <c r="I28" s="826" t="s">
        <v>1473</v>
      </c>
      <c r="J28" s="823"/>
      <c r="K28" s="827">
        <v>0.35</v>
      </c>
      <c r="L28" s="1327"/>
    </row>
    <row r="29" spans="3:15">
      <c r="C29" s="813">
        <v>6</v>
      </c>
      <c r="D29" s="814"/>
      <c r="E29" s="814"/>
      <c r="F29" s="814"/>
      <c r="G29" s="814"/>
      <c r="H29" s="821"/>
      <c r="I29" s="826" t="s">
        <v>1474</v>
      </c>
      <c r="J29" s="823"/>
      <c r="K29" s="827">
        <v>0.42</v>
      </c>
      <c r="L29" s="1327"/>
    </row>
    <row r="30" spans="3:15" ht="13" thickBot="1">
      <c r="C30" s="813">
        <v>7</v>
      </c>
      <c r="D30" s="814"/>
      <c r="E30" s="814"/>
      <c r="F30" s="814"/>
      <c r="G30" s="814"/>
      <c r="H30" s="821"/>
      <c r="I30" s="829" t="s">
        <v>1475</v>
      </c>
      <c r="J30" s="823"/>
      <c r="K30" s="830">
        <v>0.47</v>
      </c>
      <c r="L30" s="1327"/>
    </row>
    <row r="31" spans="3:15">
      <c r="C31" s="813">
        <v>8</v>
      </c>
      <c r="D31" s="814"/>
      <c r="E31" s="814"/>
      <c r="F31" s="814"/>
      <c r="G31" s="814"/>
      <c r="H31" s="814"/>
      <c r="I31" s="825"/>
      <c r="J31" s="814"/>
      <c r="K31" s="825"/>
      <c r="L31" s="1327"/>
    </row>
    <row r="32" spans="3:15"/>
    <row r="33" spans="3:15">
      <c r="C33" s="1449" t="s">
        <v>336</v>
      </c>
      <c r="D33" s="1449"/>
      <c r="E33" s="1449"/>
      <c r="F33" s="1449"/>
      <c r="G33" s="1449"/>
      <c r="H33" s="1449"/>
      <c r="I33" s="1449"/>
      <c r="J33" s="1449"/>
      <c r="K33" s="1449"/>
      <c r="L33" s="1449"/>
      <c r="M33" s="1449"/>
      <c r="N33" s="1449"/>
      <c r="O33" s="1449"/>
    </row>
    <row r="34" spans="3:15">
      <c r="C34" s="1449"/>
      <c r="D34" s="1449"/>
      <c r="E34" s="1449"/>
      <c r="F34" s="1449"/>
      <c r="G34" s="1449"/>
      <c r="H34" s="1449"/>
      <c r="I34" s="1449"/>
      <c r="J34" s="1449"/>
      <c r="K34" s="1449"/>
      <c r="L34" s="1449"/>
      <c r="M34" s="1449"/>
      <c r="N34" s="1449"/>
      <c r="O34" s="1449"/>
    </row>
    <row r="35" spans="3:15">
      <c r="C35" s="1449"/>
      <c r="D35" s="1449"/>
      <c r="E35" s="1449"/>
      <c r="F35" s="1449"/>
      <c r="G35" s="1449"/>
      <c r="H35" s="1449"/>
      <c r="I35" s="1449"/>
      <c r="J35" s="1449"/>
      <c r="K35" s="1449"/>
      <c r="L35" s="1449"/>
      <c r="M35" s="1449"/>
      <c r="N35" s="1449"/>
      <c r="O35" s="1449"/>
    </row>
    <row r="36" spans="3:15"/>
    <row r="37" spans="3:15">
      <c r="C37" s="813"/>
      <c r="D37" s="813" t="s">
        <v>1363</v>
      </c>
      <c r="E37" s="813" t="s">
        <v>1364</v>
      </c>
      <c r="F37" s="813" t="s">
        <v>1473</v>
      </c>
      <c r="G37" s="813" t="s">
        <v>1474</v>
      </c>
      <c r="H37" s="813" t="s">
        <v>1475</v>
      </c>
      <c r="I37" s="813" t="s">
        <v>1476</v>
      </c>
      <c r="J37" s="813" t="s">
        <v>497</v>
      </c>
      <c r="K37" s="813" t="s">
        <v>1511</v>
      </c>
      <c r="L37" s="1312"/>
    </row>
    <row r="38" spans="3:15" ht="13" thickBot="1">
      <c r="C38" s="813">
        <v>1</v>
      </c>
      <c r="D38" s="814"/>
      <c r="E38" s="814"/>
      <c r="F38" s="814"/>
      <c r="G38" s="814"/>
      <c r="H38" s="814"/>
      <c r="I38" s="817" t="s">
        <v>429</v>
      </c>
      <c r="J38" s="814"/>
      <c r="K38" s="814"/>
      <c r="L38" s="1327"/>
    </row>
    <row r="39" spans="3:15" ht="13" thickBot="1">
      <c r="C39" s="813">
        <v>2</v>
      </c>
      <c r="D39" s="815" t="s">
        <v>428</v>
      </c>
      <c r="E39" s="813" t="s">
        <v>429</v>
      </c>
      <c r="F39" s="814"/>
      <c r="G39" s="814"/>
      <c r="H39" s="821"/>
      <c r="I39" s="824">
        <v>0.05</v>
      </c>
      <c r="J39" s="831"/>
      <c r="K39" s="814"/>
      <c r="L39" s="1327"/>
    </row>
    <row r="40" spans="3:15" ht="13" thickBot="1">
      <c r="C40" s="818">
        <v>3</v>
      </c>
      <c r="D40" s="819" t="s">
        <v>1364</v>
      </c>
      <c r="E40" s="820">
        <f>LOOKUP(D40,K41:K45,I39:I43)</f>
        <v>0.15</v>
      </c>
      <c r="F40" s="1034" t="s">
        <v>488</v>
      </c>
      <c r="G40" s="814"/>
      <c r="H40" s="821"/>
      <c r="I40" s="827">
        <v>0.15</v>
      </c>
      <c r="J40" s="831"/>
      <c r="K40" s="816" t="s">
        <v>777</v>
      </c>
      <c r="L40" s="1327"/>
    </row>
    <row r="41" spans="3:15">
      <c r="C41" s="813">
        <v>4</v>
      </c>
      <c r="D41" s="825"/>
      <c r="E41" s="814"/>
      <c r="F41" s="814"/>
      <c r="G41" s="814"/>
      <c r="H41" s="821"/>
      <c r="I41" s="827">
        <v>0.35</v>
      </c>
      <c r="J41" s="823"/>
      <c r="K41" s="822" t="s">
        <v>1363</v>
      </c>
      <c r="L41" s="1327"/>
    </row>
    <row r="42" spans="3:15">
      <c r="C42" s="813">
        <v>5</v>
      </c>
      <c r="D42" s="814"/>
      <c r="E42" s="814"/>
      <c r="F42" s="814"/>
      <c r="G42" s="814"/>
      <c r="H42" s="821"/>
      <c r="I42" s="827">
        <v>0.42</v>
      </c>
      <c r="J42" s="823"/>
      <c r="K42" s="826" t="s">
        <v>1364</v>
      </c>
      <c r="L42" s="1327"/>
    </row>
    <row r="43" spans="3:15" ht="13" thickBot="1">
      <c r="C43" s="813">
        <v>6</v>
      </c>
      <c r="D43" s="814"/>
      <c r="E43" s="814"/>
      <c r="F43" s="814"/>
      <c r="G43" s="814"/>
      <c r="H43" s="821"/>
      <c r="I43" s="830">
        <v>0.47</v>
      </c>
      <c r="J43" s="823"/>
      <c r="K43" s="826" t="s">
        <v>1473</v>
      </c>
      <c r="L43" s="1327"/>
    </row>
    <row r="44" spans="3:15">
      <c r="C44" s="813">
        <v>7</v>
      </c>
      <c r="D44" s="814"/>
      <c r="E44" s="814"/>
      <c r="F44" s="814"/>
      <c r="G44" s="814"/>
      <c r="H44" s="814"/>
      <c r="I44" s="825"/>
      <c r="J44" s="821"/>
      <c r="K44" s="826" t="s">
        <v>1474</v>
      </c>
      <c r="L44" s="1327"/>
    </row>
    <row r="45" spans="3:15" ht="13" thickBot="1">
      <c r="C45" s="813">
        <v>8</v>
      </c>
      <c r="D45" s="814"/>
      <c r="E45" s="814"/>
      <c r="F45" s="814"/>
      <c r="G45" s="814"/>
      <c r="H45" s="814"/>
      <c r="I45" s="814"/>
      <c r="J45" s="821"/>
      <c r="K45" s="829" t="s">
        <v>1475</v>
      </c>
      <c r="L45" s="1327"/>
    </row>
    <row r="46" spans="3:15"/>
    <row r="47" spans="3:15">
      <c r="C47" s="1449" t="s">
        <v>431</v>
      </c>
      <c r="D47" s="1449"/>
      <c r="E47" s="1449"/>
      <c r="F47" s="1449"/>
      <c r="G47" s="1449"/>
      <c r="H47" s="1449"/>
      <c r="I47" s="1449"/>
      <c r="J47" s="1449"/>
      <c r="K47" s="1449"/>
      <c r="L47" s="1449"/>
      <c r="M47" s="1449"/>
      <c r="N47" s="1449"/>
      <c r="O47" s="1449"/>
    </row>
    <row r="48" spans="3:15" ht="13" thickBot="1">
      <c r="C48" s="1449"/>
      <c r="D48" s="1449"/>
      <c r="E48" s="1449"/>
      <c r="F48" s="1449"/>
      <c r="G48" s="1449"/>
      <c r="H48" s="1449"/>
      <c r="I48" s="1449"/>
      <c r="J48" s="1449"/>
      <c r="K48" s="1449"/>
      <c r="L48" s="1449"/>
      <c r="M48" s="1449"/>
      <c r="N48" s="1449"/>
      <c r="O48" s="1449"/>
    </row>
    <row r="49" spans="3:15" ht="13.5" thickTop="1" thickBot="1">
      <c r="C49" s="813"/>
      <c r="D49" s="813" t="s">
        <v>1363</v>
      </c>
      <c r="E49" s="832" t="s">
        <v>1364</v>
      </c>
      <c r="F49" s="832" t="s">
        <v>1473</v>
      </c>
      <c r="G49" s="832" t="s">
        <v>1474</v>
      </c>
      <c r="H49" s="832" t="s">
        <v>1475</v>
      </c>
      <c r="I49" s="832" t="s">
        <v>1476</v>
      </c>
      <c r="J49" s="813" t="s">
        <v>497</v>
      </c>
      <c r="K49" s="813" t="s">
        <v>1511</v>
      </c>
      <c r="L49" s="1312"/>
      <c r="M49" s="1506" t="str">
        <f ca="1">OFFSET(ad_first,OFFSET(ads_top,ROW(ads_fn_LOOKUP)-1,2),0)</f>
        <v>Our modelling and spreadsheet skills courses cover both core and extended spreadsheet and finance topics.</v>
      </c>
      <c r="N49" s="1507"/>
      <c r="O49" s="1508"/>
    </row>
    <row r="50" spans="3:15" ht="13" thickBot="1">
      <c r="C50" s="813">
        <v>1</v>
      </c>
      <c r="D50" s="821" t="s">
        <v>429</v>
      </c>
      <c r="E50" s="833">
        <v>0.05</v>
      </c>
      <c r="F50" s="834">
        <v>0.15</v>
      </c>
      <c r="G50" s="834">
        <v>0.35</v>
      </c>
      <c r="H50" s="834">
        <v>0.42</v>
      </c>
      <c r="I50" s="835">
        <v>0.47</v>
      </c>
      <c r="J50" s="831"/>
      <c r="K50" s="814"/>
      <c r="L50" s="1327"/>
      <c r="M50" s="1509"/>
      <c r="N50" s="1510"/>
      <c r="O50" s="1511"/>
    </row>
    <row r="51" spans="3:15" ht="13" thickBot="1">
      <c r="C51" s="813">
        <v>2</v>
      </c>
      <c r="D51" s="814"/>
      <c r="E51" s="836"/>
      <c r="F51" s="836"/>
      <c r="G51" s="836"/>
      <c r="H51" s="836"/>
      <c r="I51" s="836"/>
      <c r="J51" s="814"/>
      <c r="K51" s="814"/>
      <c r="L51" s="1327"/>
      <c r="M51" s="1509"/>
      <c r="N51" s="1510"/>
      <c r="O51" s="1511"/>
    </row>
    <row r="52" spans="3:15" ht="13" thickBot="1">
      <c r="C52" s="813">
        <v>3</v>
      </c>
      <c r="D52" s="821" t="s">
        <v>777</v>
      </c>
      <c r="E52" s="837" t="s">
        <v>1363</v>
      </c>
      <c r="F52" s="838" t="s">
        <v>1364</v>
      </c>
      <c r="G52" s="838" t="s">
        <v>1473</v>
      </c>
      <c r="H52" s="838" t="s">
        <v>1474</v>
      </c>
      <c r="I52" s="839" t="s">
        <v>1475</v>
      </c>
      <c r="J52" s="831"/>
      <c r="K52" s="814"/>
      <c r="L52" s="1327"/>
      <c r="M52" s="1509"/>
      <c r="N52" s="1510"/>
      <c r="O52" s="1511"/>
    </row>
    <row r="53" spans="3:15" ht="13" thickBot="1">
      <c r="C53" s="813">
        <v>4</v>
      </c>
      <c r="D53" s="814"/>
      <c r="E53" s="825"/>
      <c r="F53" s="825"/>
      <c r="G53" s="825"/>
      <c r="H53" s="825"/>
      <c r="I53" s="825"/>
      <c r="J53" s="814"/>
      <c r="K53" s="814"/>
      <c r="L53" s="1327"/>
      <c r="M53" s="1512"/>
      <c r="N53" s="1513"/>
      <c r="O53" s="1514"/>
    </row>
    <row r="54" spans="3:15" ht="13.5" thickTop="1" thickBot="1">
      <c r="C54" s="813">
        <v>5</v>
      </c>
      <c r="D54" s="815" t="s">
        <v>428</v>
      </c>
      <c r="E54" s="814" t="s">
        <v>429</v>
      </c>
      <c r="F54" s="814"/>
      <c r="G54" s="814"/>
      <c r="H54" s="814"/>
      <c r="I54" s="814"/>
      <c r="J54" s="814"/>
      <c r="K54" s="814"/>
      <c r="L54" s="1327"/>
    </row>
    <row r="55" spans="3:15" ht="13" thickBot="1">
      <c r="C55" s="818">
        <v>6</v>
      </c>
      <c r="D55" s="840" t="s">
        <v>1364</v>
      </c>
      <c r="E55" s="820">
        <f>LOOKUP(D55,E52:I52,E50:I50)</f>
        <v>0.15</v>
      </c>
      <c r="F55" s="1035" t="s">
        <v>487</v>
      </c>
      <c r="G55" s="814"/>
      <c r="H55" s="814"/>
      <c r="I55" s="814"/>
      <c r="J55" s="814"/>
      <c r="K55" s="814"/>
      <c r="L55" s="1327"/>
    </row>
    <row r="56" spans="3:15">
      <c r="C56" s="813">
        <v>7</v>
      </c>
      <c r="D56" s="825"/>
      <c r="E56" s="814"/>
      <c r="F56" s="814"/>
      <c r="G56" s="814"/>
      <c r="H56" s="814"/>
      <c r="I56" s="814"/>
      <c r="J56" s="814"/>
      <c r="K56" s="814"/>
      <c r="L56" s="1327"/>
    </row>
    <row r="57" spans="3:15">
      <c r="C57" s="813">
        <v>8</v>
      </c>
      <c r="D57" s="814"/>
      <c r="E57" s="814"/>
      <c r="F57" s="814"/>
      <c r="G57" s="814"/>
      <c r="H57" s="814"/>
      <c r="I57" s="814"/>
      <c r="J57" s="814"/>
      <c r="K57" s="814"/>
      <c r="L57" s="1327"/>
    </row>
    <row r="58" spans="3:15"/>
    <row r="59" spans="3:15">
      <c r="C59" s="812" t="s">
        <v>432</v>
      </c>
    </row>
    <row r="60" spans="3:15"/>
    <row r="61" spans="3:15" ht="13" thickBot="1">
      <c r="C61" s="813"/>
      <c r="D61" s="813" t="s">
        <v>1363</v>
      </c>
      <c r="E61" s="832" t="s">
        <v>1364</v>
      </c>
      <c r="F61" s="832" t="s">
        <v>1473</v>
      </c>
      <c r="G61" s="832" t="s">
        <v>1474</v>
      </c>
      <c r="H61" s="832" t="s">
        <v>1475</v>
      </c>
      <c r="I61" s="832" t="s">
        <v>1476</v>
      </c>
      <c r="J61" s="813" t="s">
        <v>497</v>
      </c>
      <c r="K61" s="813" t="s">
        <v>1511</v>
      </c>
      <c r="L61" s="1312"/>
    </row>
    <row r="62" spans="3:15" ht="13" thickBot="1">
      <c r="C62" s="813">
        <v>1</v>
      </c>
      <c r="D62" s="821" t="s">
        <v>777</v>
      </c>
      <c r="E62" s="837" t="s">
        <v>1363</v>
      </c>
      <c r="F62" s="838" t="s">
        <v>1364</v>
      </c>
      <c r="G62" s="838" t="s">
        <v>1473</v>
      </c>
      <c r="H62" s="838" t="s">
        <v>1474</v>
      </c>
      <c r="I62" s="839" t="s">
        <v>1475</v>
      </c>
      <c r="J62" s="831"/>
      <c r="K62" s="817" t="s">
        <v>429</v>
      </c>
      <c r="L62" s="1327"/>
    </row>
    <row r="63" spans="3:15">
      <c r="C63" s="813">
        <v>2</v>
      </c>
      <c r="D63" s="814"/>
      <c r="E63" s="825"/>
      <c r="F63" s="825"/>
      <c r="G63" s="825"/>
      <c r="H63" s="825"/>
      <c r="I63" s="825"/>
      <c r="J63" s="821"/>
      <c r="K63" s="824">
        <v>0.05</v>
      </c>
      <c r="L63" s="1327"/>
    </row>
    <row r="64" spans="3:15">
      <c r="C64" s="813">
        <v>3</v>
      </c>
      <c r="D64" s="814"/>
      <c r="E64" s="814"/>
      <c r="F64" s="814"/>
      <c r="G64" s="814"/>
      <c r="H64" s="814"/>
      <c r="I64" s="814"/>
      <c r="J64" s="821"/>
      <c r="K64" s="827">
        <v>0.15</v>
      </c>
      <c r="L64" s="1327"/>
    </row>
    <row r="65" spans="3:15">
      <c r="C65" s="813">
        <v>4</v>
      </c>
      <c r="D65" s="814"/>
      <c r="E65" s="814"/>
      <c r="F65" s="814"/>
      <c r="G65" s="814"/>
      <c r="H65" s="814"/>
      <c r="I65" s="814"/>
      <c r="J65" s="821"/>
      <c r="K65" s="827">
        <v>0.35</v>
      </c>
      <c r="L65" s="1327"/>
    </row>
    <row r="66" spans="3:15" ht="13" thickBot="1">
      <c r="C66" s="813">
        <v>5</v>
      </c>
      <c r="D66" s="815" t="s">
        <v>428</v>
      </c>
      <c r="E66" s="814" t="s">
        <v>429</v>
      </c>
      <c r="F66" s="814"/>
      <c r="G66" s="814"/>
      <c r="H66" s="814"/>
      <c r="I66" s="814"/>
      <c r="J66" s="821"/>
      <c r="K66" s="827">
        <v>0.42</v>
      </c>
      <c r="L66" s="1327"/>
    </row>
    <row r="67" spans="3:15" ht="13" thickBot="1">
      <c r="C67" s="818">
        <v>6</v>
      </c>
      <c r="D67" s="840" t="s">
        <v>1364</v>
      </c>
      <c r="E67" s="820">
        <f>LOOKUP(D67,E62:I62,K63:K67)</f>
        <v>0.15</v>
      </c>
      <c r="F67" s="1034" t="s">
        <v>486</v>
      </c>
      <c r="G67" s="814"/>
      <c r="H67" s="814"/>
      <c r="I67" s="814"/>
      <c r="J67" s="821"/>
      <c r="K67" s="830">
        <v>0.47</v>
      </c>
      <c r="L67" s="1327"/>
    </row>
    <row r="68" spans="3:15">
      <c r="C68" s="813">
        <v>7</v>
      </c>
      <c r="D68" s="825"/>
      <c r="E68" s="814"/>
      <c r="F68" s="814"/>
      <c r="G68" s="814"/>
      <c r="H68" s="814"/>
      <c r="I68" s="814"/>
      <c r="J68" s="814"/>
      <c r="K68" s="825"/>
      <c r="L68" s="1327"/>
    </row>
    <row r="69" spans="3:15">
      <c r="C69" s="813">
        <v>8</v>
      </c>
      <c r="D69" s="814"/>
      <c r="E69" s="814"/>
      <c r="F69" s="814"/>
      <c r="G69" s="814"/>
      <c r="H69" s="814"/>
      <c r="I69" s="814"/>
      <c r="J69" s="814"/>
      <c r="K69" s="814"/>
      <c r="L69" s="1327"/>
    </row>
    <row r="70" spans="3:15"/>
    <row r="71" spans="3:15">
      <c r="C71" s="1449" t="s">
        <v>433</v>
      </c>
      <c r="D71" s="1449"/>
      <c r="E71" s="1449"/>
      <c r="F71" s="1449"/>
      <c r="G71" s="1449"/>
      <c r="H71" s="1449"/>
      <c r="I71" s="1449"/>
      <c r="J71" s="1449"/>
      <c r="K71" s="1449"/>
      <c r="L71" s="1449"/>
      <c r="M71" s="1449"/>
      <c r="N71" s="1449"/>
      <c r="O71" s="1449"/>
    </row>
    <row r="72" spans="3:15">
      <c r="C72" s="1449"/>
      <c r="D72" s="1449"/>
      <c r="E72" s="1449"/>
      <c r="F72" s="1449"/>
      <c r="G72" s="1449"/>
      <c r="H72" s="1449"/>
      <c r="I72" s="1449"/>
      <c r="J72" s="1449"/>
      <c r="K72" s="1449"/>
      <c r="L72" s="1449"/>
      <c r="M72" s="1449"/>
      <c r="N72" s="1449"/>
      <c r="O72" s="1449"/>
    </row>
    <row r="73" spans="3:15" ht="13" thickBot="1"/>
    <row r="74" spans="3:15" ht="13" thickTop="1">
      <c r="C74" s="813"/>
      <c r="D74" s="813" t="s">
        <v>1363</v>
      </c>
      <c r="E74" s="813" t="s">
        <v>1364</v>
      </c>
      <c r="F74" s="813" t="s">
        <v>1473</v>
      </c>
      <c r="G74" s="813" t="s">
        <v>1474</v>
      </c>
      <c r="H74" s="813" t="s">
        <v>1475</v>
      </c>
      <c r="I74" s="813" t="s">
        <v>1476</v>
      </c>
      <c r="J74" s="813" t="s">
        <v>497</v>
      </c>
      <c r="K74" s="1328" t="s">
        <v>1511</v>
      </c>
      <c r="M74" s="1506" t="str">
        <f ca="1">OFFSET(ad_first,OFFSET(ads_top,ROW(ads_fn_LOOKUP)-1,3),0)</f>
        <v>Our modelling and spreadsheet skills courses cover both core and extended spreadsheet and finance topics.</v>
      </c>
      <c r="N74" s="1507"/>
      <c r="O74" s="1508"/>
    </row>
    <row r="75" spans="3:15">
      <c r="C75" s="813">
        <v>1</v>
      </c>
      <c r="D75" s="814"/>
      <c r="E75" s="814"/>
      <c r="F75" s="814"/>
      <c r="G75" s="814"/>
      <c r="H75" s="814"/>
      <c r="I75" s="814"/>
      <c r="J75" s="814"/>
      <c r="K75" s="1330"/>
      <c r="M75" s="1509"/>
      <c r="N75" s="1510"/>
      <c r="O75" s="1511"/>
    </row>
    <row r="76" spans="3:15" ht="13" thickBot="1">
      <c r="C76" s="813">
        <v>2</v>
      </c>
      <c r="D76" s="815" t="s">
        <v>428</v>
      </c>
      <c r="E76" s="813" t="s">
        <v>429</v>
      </c>
      <c r="F76" s="814"/>
      <c r="G76" s="814"/>
      <c r="H76" s="814"/>
      <c r="I76" s="816" t="s">
        <v>777</v>
      </c>
      <c r="J76" s="814"/>
      <c r="K76" s="817" t="s">
        <v>429</v>
      </c>
      <c r="M76" s="1509"/>
      <c r="N76" s="1510"/>
      <c r="O76" s="1511"/>
    </row>
    <row r="77" spans="3:15" ht="13" thickBot="1">
      <c r="C77" s="818">
        <v>3</v>
      </c>
      <c r="D77" s="819" t="s">
        <v>1364</v>
      </c>
      <c r="E77" s="820">
        <f>LOOKUP(D77,I77:I81,K77:K81)</f>
        <v>0.05</v>
      </c>
      <c r="F77" s="1034" t="s">
        <v>485</v>
      </c>
      <c r="G77" s="814"/>
      <c r="H77" s="821"/>
      <c r="I77" s="822" t="s">
        <v>1363</v>
      </c>
      <c r="J77" s="823"/>
      <c r="K77" s="841">
        <v>0.05</v>
      </c>
      <c r="M77" s="1509"/>
      <c r="N77" s="1510"/>
      <c r="O77" s="1511"/>
    </row>
    <row r="78" spans="3:15" ht="13" thickBot="1">
      <c r="C78" s="813">
        <v>4</v>
      </c>
      <c r="D78" s="825"/>
      <c r="E78" s="814"/>
      <c r="F78" s="814"/>
      <c r="G78" s="814"/>
      <c r="H78" s="821"/>
      <c r="I78" s="826" t="s">
        <v>1473</v>
      </c>
      <c r="J78" s="823"/>
      <c r="K78" s="842">
        <v>0.15</v>
      </c>
      <c r="M78" s="1512"/>
      <c r="N78" s="1513"/>
      <c r="O78" s="1514"/>
    </row>
    <row r="79" spans="3:15" ht="13" thickTop="1">
      <c r="C79" s="813">
        <v>5</v>
      </c>
      <c r="D79" s="814"/>
      <c r="E79" s="814"/>
      <c r="F79" s="814"/>
      <c r="G79" s="814"/>
      <c r="H79" s="821"/>
      <c r="I79" s="826" t="s">
        <v>1474</v>
      </c>
      <c r="J79" s="823"/>
      <c r="K79" s="842">
        <v>0.35</v>
      </c>
    </row>
    <row r="80" spans="3:15">
      <c r="C80" s="813">
        <v>6</v>
      </c>
      <c r="D80" s="814"/>
      <c r="E80" s="814"/>
      <c r="F80" s="814"/>
      <c r="G80" s="814"/>
      <c r="H80" s="821"/>
      <c r="I80" s="826" t="s">
        <v>1475</v>
      </c>
      <c r="J80" s="823"/>
      <c r="K80" s="842">
        <v>0.42</v>
      </c>
    </row>
    <row r="81" spans="3:15" ht="13" thickBot="1">
      <c r="C81" s="813">
        <v>7</v>
      </c>
      <c r="D81" s="814"/>
      <c r="E81" s="814"/>
      <c r="F81" s="814"/>
      <c r="G81" s="814"/>
      <c r="H81" s="821"/>
      <c r="I81" s="829" t="s">
        <v>1476</v>
      </c>
      <c r="J81" s="823"/>
      <c r="K81" s="843">
        <v>0.47</v>
      </c>
    </row>
    <row r="82" spans="3:15">
      <c r="C82" s="813">
        <v>8</v>
      </c>
      <c r="D82" s="814"/>
      <c r="E82" s="814"/>
      <c r="F82" s="814"/>
      <c r="G82" s="814"/>
      <c r="H82" s="814"/>
      <c r="I82" s="825"/>
      <c r="J82" s="814"/>
      <c r="K82" s="1329"/>
    </row>
    <row r="83" spans="3:15"/>
    <row r="84" spans="3:15">
      <c r="C84" s="1449" t="s">
        <v>337</v>
      </c>
      <c r="D84" s="1449"/>
      <c r="E84" s="1449"/>
      <c r="F84" s="1449"/>
      <c r="G84" s="1449"/>
      <c r="H84" s="1449"/>
      <c r="I84" s="1449"/>
      <c r="J84" s="1449"/>
      <c r="K84" s="1449"/>
      <c r="L84" s="1449"/>
      <c r="M84" s="1449"/>
      <c r="N84" s="1449"/>
      <c r="O84" s="1449"/>
    </row>
    <row r="85" spans="3:15">
      <c r="C85" s="1449"/>
      <c r="D85" s="1449"/>
      <c r="E85" s="1449"/>
      <c r="F85" s="1449"/>
      <c r="G85" s="1449"/>
      <c r="H85" s="1449"/>
      <c r="I85" s="1449"/>
      <c r="J85" s="1449"/>
      <c r="K85" s="1449"/>
      <c r="L85" s="1449"/>
      <c r="M85" s="1449"/>
      <c r="N85" s="1449"/>
      <c r="O85" s="1449"/>
    </row>
    <row r="86" spans="3:15">
      <c r="C86" s="1449"/>
      <c r="D86" s="1449"/>
      <c r="E86" s="1449"/>
      <c r="F86" s="1449"/>
      <c r="G86" s="1449"/>
      <c r="H86" s="1449"/>
      <c r="I86" s="1449"/>
      <c r="J86" s="1449"/>
      <c r="K86" s="1449"/>
      <c r="L86" s="1449"/>
      <c r="M86" s="1449"/>
      <c r="N86" s="1449"/>
      <c r="O86" s="1449"/>
    </row>
    <row r="87" spans="3:15">
      <c r="C87" s="1449"/>
      <c r="D87" s="1449"/>
      <c r="E87" s="1449"/>
      <c r="F87" s="1449"/>
      <c r="G87" s="1449"/>
      <c r="H87" s="1449"/>
      <c r="I87" s="1449"/>
      <c r="J87" s="1449"/>
      <c r="K87" s="1449"/>
      <c r="L87" s="1449"/>
      <c r="M87" s="1449"/>
      <c r="N87" s="1449"/>
      <c r="O87" s="1449"/>
    </row>
    <row r="88" spans="3:15">
      <c r="C88" s="1449"/>
      <c r="D88" s="1449"/>
      <c r="E88" s="1449"/>
      <c r="F88" s="1449"/>
      <c r="G88" s="1449"/>
      <c r="H88" s="1449"/>
      <c r="I88" s="1449"/>
      <c r="J88" s="1449"/>
      <c r="K88" s="1449"/>
      <c r="L88" s="1449"/>
      <c r="M88" s="1449"/>
      <c r="N88" s="1449"/>
      <c r="O88" s="1449"/>
    </row>
    <row r="89" spans="3:15">
      <c r="C89" s="1449"/>
      <c r="D89" s="1449"/>
      <c r="E89" s="1449"/>
      <c r="F89" s="1449"/>
      <c r="G89" s="1449"/>
      <c r="H89" s="1449"/>
      <c r="I89" s="1449"/>
      <c r="J89" s="1449"/>
      <c r="K89" s="1449"/>
      <c r="L89" s="1449"/>
      <c r="M89" s="1449"/>
      <c r="N89" s="1449"/>
      <c r="O89" s="1449"/>
    </row>
    <row r="90" spans="3:15">
      <c r="C90" s="1449"/>
      <c r="D90" s="1449"/>
      <c r="E90" s="1449"/>
      <c r="F90" s="1449"/>
      <c r="G90" s="1449"/>
      <c r="H90" s="1449"/>
      <c r="I90" s="1449"/>
      <c r="J90" s="1449"/>
      <c r="K90" s="1449"/>
      <c r="L90" s="1449"/>
      <c r="M90" s="1449"/>
      <c r="N90" s="1449"/>
      <c r="O90" s="1449"/>
    </row>
    <row r="91" spans="3:15">
      <c r="C91" s="1449" t="s">
        <v>565</v>
      </c>
      <c r="D91" s="1449"/>
      <c r="E91" s="1449"/>
      <c r="F91" s="1449"/>
      <c r="G91" s="1449"/>
      <c r="H91" s="1449"/>
      <c r="I91" s="1449"/>
      <c r="J91" s="1449"/>
      <c r="K91" s="1449"/>
      <c r="L91" s="1449"/>
      <c r="M91" s="1449"/>
      <c r="N91" s="1449"/>
      <c r="O91" s="1449"/>
    </row>
    <row r="92" spans="3:15">
      <c r="C92" s="1449"/>
      <c r="D92" s="1449"/>
      <c r="E92" s="1449"/>
      <c r="F92" s="1449"/>
      <c r="G92" s="1449"/>
      <c r="H92" s="1449"/>
      <c r="I92" s="1449"/>
      <c r="J92" s="1449"/>
      <c r="K92" s="1449"/>
      <c r="L92" s="1449"/>
      <c r="M92" s="1449"/>
      <c r="N92" s="1449"/>
      <c r="O92" s="1449"/>
    </row>
    <row r="93" spans="3:15"/>
    <row r="94" spans="3:15">
      <c r="C94" s="813"/>
      <c r="D94" s="813" t="s">
        <v>1363</v>
      </c>
      <c r="E94" s="813" t="s">
        <v>1364</v>
      </c>
      <c r="F94" s="813" t="s">
        <v>1473</v>
      </c>
      <c r="G94" s="813" t="s">
        <v>1474</v>
      </c>
      <c r="H94" s="813" t="s">
        <v>1475</v>
      </c>
      <c r="I94" s="813" t="s">
        <v>1476</v>
      </c>
      <c r="J94" s="813" t="s">
        <v>497</v>
      </c>
      <c r="K94" s="813" t="s">
        <v>1511</v>
      </c>
      <c r="L94" s="1312"/>
    </row>
    <row r="95" spans="3:15">
      <c r="C95" s="813">
        <v>1</v>
      </c>
      <c r="D95" s="814"/>
      <c r="E95" s="814"/>
      <c r="F95" s="814"/>
      <c r="G95" s="814"/>
      <c r="H95" s="814"/>
      <c r="I95" s="814"/>
      <c r="J95" s="814"/>
      <c r="K95" s="814"/>
      <c r="L95" s="1327"/>
    </row>
    <row r="96" spans="3:15" ht="13" thickBot="1">
      <c r="C96" s="813">
        <v>2</v>
      </c>
      <c r="D96" s="815" t="s">
        <v>428</v>
      </c>
      <c r="E96" s="813" t="s">
        <v>429</v>
      </c>
      <c r="F96" s="814"/>
      <c r="G96" s="814"/>
      <c r="H96" s="814"/>
      <c r="I96" s="816" t="s">
        <v>777</v>
      </c>
      <c r="J96" s="814"/>
      <c r="K96" s="817" t="s">
        <v>429</v>
      </c>
      <c r="L96" s="1327"/>
    </row>
    <row r="97" spans="3:15" ht="13" thickBot="1">
      <c r="C97" s="818">
        <v>3</v>
      </c>
      <c r="D97" s="819" t="s">
        <v>1363</v>
      </c>
      <c r="E97" s="820" t="e">
        <f>LOOKUP(D97,I97:I101,K97:K101)</f>
        <v>#N/A</v>
      </c>
      <c r="F97" s="1034" t="s">
        <v>485</v>
      </c>
      <c r="G97" s="814"/>
      <c r="H97" s="821"/>
      <c r="I97" s="822" t="s">
        <v>1364</v>
      </c>
      <c r="J97" s="823"/>
      <c r="K97" s="841">
        <v>0.05</v>
      </c>
      <c r="L97" s="1327"/>
    </row>
    <row r="98" spans="3:15">
      <c r="C98" s="813">
        <v>4</v>
      </c>
      <c r="D98" s="825"/>
      <c r="E98" s="814"/>
      <c r="F98" s="814"/>
      <c r="G98" s="814"/>
      <c r="H98" s="821"/>
      <c r="I98" s="826" t="s">
        <v>1473</v>
      </c>
      <c r="J98" s="823"/>
      <c r="K98" s="842">
        <v>0.15</v>
      </c>
      <c r="L98" s="1327"/>
    </row>
    <row r="99" spans="3:15">
      <c r="C99" s="813">
        <v>5</v>
      </c>
      <c r="D99" s="814"/>
      <c r="E99" s="814"/>
      <c r="F99" s="814"/>
      <c r="G99" s="814"/>
      <c r="H99" s="821"/>
      <c r="I99" s="826" t="s">
        <v>1474</v>
      </c>
      <c r="J99" s="823"/>
      <c r="K99" s="842">
        <v>0.35</v>
      </c>
      <c r="L99" s="1327"/>
    </row>
    <row r="100" spans="3:15">
      <c r="C100" s="813">
        <v>6</v>
      </c>
      <c r="D100" s="814"/>
      <c r="E100" s="814"/>
      <c r="F100" s="814"/>
      <c r="G100" s="814"/>
      <c r="H100" s="821"/>
      <c r="I100" s="826" t="s">
        <v>1475</v>
      </c>
      <c r="J100" s="823"/>
      <c r="K100" s="842">
        <v>0.42</v>
      </c>
      <c r="L100" s="1327"/>
    </row>
    <row r="101" spans="3:15" ht="13" thickBot="1">
      <c r="C101" s="813">
        <v>7</v>
      </c>
      <c r="D101" s="814"/>
      <c r="E101" s="814"/>
      <c r="F101" s="814"/>
      <c r="G101" s="814"/>
      <c r="H101" s="821"/>
      <c r="I101" s="829" t="s">
        <v>1476</v>
      </c>
      <c r="J101" s="823"/>
      <c r="K101" s="843">
        <v>0.47</v>
      </c>
      <c r="L101" s="1327"/>
    </row>
    <row r="102" spans="3:15">
      <c r="C102" s="813">
        <v>8</v>
      </c>
      <c r="D102" s="814"/>
      <c r="E102" s="814"/>
      <c r="F102" s="814"/>
      <c r="G102" s="814"/>
      <c r="H102" s="814"/>
      <c r="I102" s="825"/>
      <c r="J102" s="814"/>
      <c r="K102" s="825"/>
      <c r="L102" s="1327"/>
    </row>
    <row r="103" spans="3:15"/>
    <row r="104" spans="3:15">
      <c r="C104" s="1449" t="s">
        <v>566</v>
      </c>
      <c r="D104" s="1449"/>
      <c r="E104" s="1449"/>
      <c r="F104" s="1449"/>
      <c r="G104" s="1449"/>
      <c r="H104" s="1449"/>
      <c r="I104" s="1449"/>
      <c r="J104" s="1449"/>
      <c r="K104" s="1449"/>
      <c r="L104" s="1449"/>
      <c r="M104" s="1449"/>
      <c r="N104" s="1449"/>
      <c r="O104" s="1449"/>
    </row>
    <row r="105" spans="3:15"/>
    <row r="106" spans="3:15">
      <c r="C106" s="1449" t="s">
        <v>567</v>
      </c>
      <c r="D106" s="1449"/>
      <c r="E106" s="1449"/>
      <c r="F106" s="1449"/>
      <c r="G106" s="1449"/>
      <c r="H106" s="1449"/>
      <c r="I106" s="1449"/>
      <c r="J106" s="1449"/>
      <c r="K106" s="1449"/>
      <c r="L106" s="1449"/>
      <c r="M106" s="1449"/>
      <c r="N106" s="1449"/>
      <c r="O106" s="1449"/>
    </row>
    <row r="107" spans="3:15">
      <c r="C107" s="1449"/>
      <c r="D107" s="1449"/>
      <c r="E107" s="1449"/>
      <c r="F107" s="1449"/>
      <c r="G107" s="1449"/>
      <c r="H107" s="1449"/>
      <c r="I107" s="1449"/>
      <c r="J107" s="1449"/>
      <c r="K107" s="1449"/>
      <c r="L107" s="1449"/>
      <c r="M107" s="1449"/>
      <c r="N107" s="1449"/>
      <c r="O107" s="1449"/>
    </row>
    <row r="108" spans="3:15" ht="13" thickBot="1"/>
    <row r="109" spans="3:15" ht="13" thickTop="1">
      <c r="C109" s="813"/>
      <c r="D109" s="813" t="s">
        <v>1363</v>
      </c>
      <c r="E109" s="813" t="s">
        <v>1364</v>
      </c>
      <c r="F109" s="813" t="s">
        <v>1473</v>
      </c>
      <c r="G109" s="813" t="s">
        <v>1474</v>
      </c>
      <c r="H109" s="813" t="s">
        <v>1475</v>
      </c>
      <c r="I109" s="813" t="s">
        <v>1476</v>
      </c>
      <c r="J109" s="813" t="s">
        <v>497</v>
      </c>
      <c r="K109" s="813" t="s">
        <v>1511</v>
      </c>
      <c r="L109" s="1312"/>
      <c r="M109" s="1506" t="str">
        <f ca="1">OFFSET(ad_first,OFFSET(ads_top,ROW(ads_fn_LOOKUP)-1,4),0)</f>
        <v>Our financial modelling course shows the essential building blocks of efficient and well-presented financial models</v>
      </c>
      <c r="N109" s="1507"/>
      <c r="O109" s="1508"/>
    </row>
    <row r="110" spans="3:15">
      <c r="C110" s="813">
        <v>1</v>
      </c>
      <c r="D110" s="814"/>
      <c r="E110" s="814"/>
      <c r="F110" s="814"/>
      <c r="G110" s="814"/>
      <c r="H110" s="814"/>
      <c r="I110" s="814"/>
      <c r="J110" s="814"/>
      <c r="K110" s="814"/>
      <c r="L110" s="1327"/>
      <c r="M110" s="1509"/>
      <c r="N110" s="1510"/>
      <c r="O110" s="1511"/>
    </row>
    <row r="111" spans="3:15" ht="13" thickBot="1">
      <c r="C111" s="813">
        <v>2</v>
      </c>
      <c r="D111" s="815" t="s">
        <v>428</v>
      </c>
      <c r="E111" s="813" t="s">
        <v>429</v>
      </c>
      <c r="F111" s="814"/>
      <c r="G111" s="814"/>
      <c r="H111" s="814"/>
      <c r="I111" s="816" t="s">
        <v>777</v>
      </c>
      <c r="J111" s="814"/>
      <c r="K111" s="817" t="s">
        <v>429</v>
      </c>
      <c r="L111" s="1327"/>
      <c r="M111" s="1509"/>
      <c r="N111" s="1510"/>
      <c r="O111" s="1511"/>
    </row>
    <row r="112" spans="3:15" ht="13" thickBot="1">
      <c r="C112" s="818">
        <v>3</v>
      </c>
      <c r="D112" s="980" t="s">
        <v>1511</v>
      </c>
      <c r="E112" s="844">
        <f>LOOKUP(D112,I112:I116,K112:K116)</f>
        <v>0.47</v>
      </c>
      <c r="F112" s="1034" t="s">
        <v>485</v>
      </c>
      <c r="G112" s="814"/>
      <c r="H112" s="821"/>
      <c r="I112" s="822" t="s">
        <v>1364</v>
      </c>
      <c r="J112" s="823"/>
      <c r="K112" s="841">
        <v>0.05</v>
      </c>
      <c r="L112" s="1327"/>
      <c r="M112" s="1509"/>
      <c r="N112" s="1510"/>
      <c r="O112" s="1511"/>
    </row>
    <row r="113" spans="3:15" ht="13" thickBot="1">
      <c r="C113" s="813">
        <v>4</v>
      </c>
      <c r="D113" s="825"/>
      <c r="E113" s="814"/>
      <c r="F113" s="814"/>
      <c r="G113" s="814"/>
      <c r="H113" s="821"/>
      <c r="I113" s="826" t="s">
        <v>1473</v>
      </c>
      <c r="J113" s="823"/>
      <c r="K113" s="842">
        <v>0.15</v>
      </c>
      <c r="L113" s="1327"/>
      <c r="M113" s="1512"/>
      <c r="N113" s="1513"/>
      <c r="O113" s="1514"/>
    </row>
    <row r="114" spans="3:15" ht="13" thickTop="1">
      <c r="C114" s="813">
        <v>5</v>
      </c>
      <c r="D114" s="814"/>
      <c r="E114" s="814"/>
      <c r="F114" s="814"/>
      <c r="G114" s="814"/>
      <c r="H114" s="821"/>
      <c r="I114" s="826" t="s">
        <v>1475</v>
      </c>
      <c r="J114" s="823"/>
      <c r="K114" s="842">
        <v>0.35</v>
      </c>
      <c r="L114" s="1327"/>
    </row>
    <row r="115" spans="3:15">
      <c r="C115" s="813">
        <v>6</v>
      </c>
      <c r="D115" s="814"/>
      <c r="E115" s="814"/>
      <c r="F115" s="814"/>
      <c r="G115" s="814"/>
      <c r="H115" s="821"/>
      <c r="I115" s="826" t="s">
        <v>1476</v>
      </c>
      <c r="J115" s="823"/>
      <c r="K115" s="842">
        <v>0.42</v>
      </c>
      <c r="L115" s="1327"/>
    </row>
    <row r="116" spans="3:15" ht="13" thickBot="1">
      <c r="C116" s="813">
        <v>7</v>
      </c>
      <c r="D116" s="814"/>
      <c r="E116" s="814"/>
      <c r="F116" s="814"/>
      <c r="G116" s="814"/>
      <c r="H116" s="821"/>
      <c r="I116" s="829" t="s">
        <v>497</v>
      </c>
      <c r="J116" s="823"/>
      <c r="K116" s="843">
        <v>0.47</v>
      </c>
      <c r="L116" s="1327"/>
    </row>
    <row r="117" spans="3:15">
      <c r="C117" s="813">
        <v>8</v>
      </c>
      <c r="D117" s="814"/>
      <c r="E117" s="814"/>
      <c r="F117" s="814"/>
      <c r="G117" s="814"/>
      <c r="H117" s="814"/>
      <c r="I117" s="825"/>
      <c r="J117" s="814"/>
      <c r="K117" s="825"/>
      <c r="L117" s="1327"/>
    </row>
    <row r="118" spans="3:15"/>
    <row r="119" spans="3:15" customFormat="1">
      <c r="C119" s="1697" t="str">
        <f>back_to_index</f>
        <v>Back to contents</v>
      </c>
      <c r="D119" s="1697"/>
      <c r="G119" s="1674" t="str">
        <f>page_prefix &amp; page_fn_LOOKUP&amp; page_suffix</f>
        <v>- Page 31 -</v>
      </c>
      <c r="H119" s="1674"/>
      <c r="I119" s="1674"/>
      <c r="J119" s="1703"/>
      <c r="K119" s="1703"/>
      <c r="M119" s="812"/>
      <c r="N119" s="1673" t="str">
        <f>back_to_top</f>
        <v>Back to top</v>
      </c>
      <c r="O119" s="1673"/>
    </row>
    <row r="120" spans="3:15" customFormat="1">
      <c r="G120" s="1674" t="str">
        <f>copyright</f>
        <v>Copyright (c) 2009 Tykoh Group Pty Limited</v>
      </c>
      <c r="H120" s="1674"/>
      <c r="I120" s="1674"/>
      <c r="J120" s="1703"/>
      <c r="K120" s="1703"/>
    </row>
    <row r="121" spans="3:15" customFormat="1">
      <c r="G121" s="1452" t="str">
        <f>home_address</f>
        <v>www.tykoh.com</v>
      </c>
      <c r="H121" s="1452"/>
      <c r="I121" s="1452"/>
      <c r="J121" s="1452"/>
      <c r="K121" s="1452"/>
    </row>
    <row r="122" spans="3:15"/>
  </sheetData>
  <sheetProtection algorithmName="SHA-512" hashValue="DhOfzrW+rNhI42Kh8rzjaMszwnmUgH5FOlezZzlNpvONSAGjnTlz6KrblGnt5tE1W9lvdfZoUr9FIsNamWG7QQ==" saltValue="0Y/BfeT4hG8oxnpzJuZp9A==" spinCount="100000" sheet="1" objects="1" scenarios="1"/>
  <mergeCells count="17">
    <mergeCell ref="M109:O113"/>
    <mergeCell ref="C91:O92"/>
    <mergeCell ref="C104:O104"/>
    <mergeCell ref="C106:O107"/>
    <mergeCell ref="G120:K120"/>
    <mergeCell ref="G121:K121"/>
    <mergeCell ref="N119:O119"/>
    <mergeCell ref="C119:D119"/>
    <mergeCell ref="G119:K119"/>
    <mergeCell ref="C84:O90"/>
    <mergeCell ref="C33:O35"/>
    <mergeCell ref="C47:O48"/>
    <mergeCell ref="C5:K9"/>
    <mergeCell ref="M4:O8"/>
    <mergeCell ref="M49:O53"/>
    <mergeCell ref="M74:O78"/>
    <mergeCell ref="C71:O72"/>
  </mergeCells>
  <phoneticPr fontId="2" type="noConversion"/>
  <dataValidations count="1">
    <dataValidation type="list" allowBlank="1" showInputMessage="1" showErrorMessage="1" sqref="D112" xr:uid="{00000000-0002-0000-2B00-000000000000}">
      <formula1>"A,B,C,D,E,F,G,H"</formula1>
    </dataValidation>
  </dataValidations>
  <hyperlinks>
    <hyperlink ref="N119:O119" location="hh_fn_LOOKUP" display="hh_fn_LOOKUP" xr:uid="{00000000-0004-0000-2B00-000000000000}"/>
    <hyperlink ref="C119:D119" location="hh_index" display="hh_index" xr:uid="{00000000-0004-0000-2B00-000001000000}"/>
    <hyperlink ref="G121:K121" r:id="rId1" display="https://www.tykoh.com/" xr:uid="{00000000-0004-0000-2B00-000002000000}"/>
  </hyperlinks>
  <pageMargins left="0.75" right="0.75" top="1" bottom="1" header="0.5" footer="0.5"/>
  <pageSetup scale="74" fitToHeight="2" orientation="portrait" r:id="rId2"/>
  <headerFooter alignWithMargins="0"/>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7"/>
  <dimension ref="C1:O102"/>
  <sheetViews>
    <sheetView showGridLines="0" showRowColHeaders="0" topLeftCell="A91" zoomScaleNormal="100" workbookViewId="0">
      <selection activeCell="G101" sqref="G101:K101"/>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719</v>
      </c>
    </row>
    <row r="4" spans="3:15" ht="13" thickTop="1">
      <c r="M4" s="1521" t="str">
        <f ca="1">OFFSET(ad_first,OFFSET(ads_top,ROW(ads_fn_MATCH)-1,1),0)</f>
        <v>We specialise in presenting one and two day finance / technical workshops</v>
      </c>
      <c r="N4" s="1507"/>
      <c r="O4" s="1508"/>
    </row>
    <row r="5" spans="3:15">
      <c r="C5" s="1585" t="s">
        <v>476</v>
      </c>
      <c r="D5" s="1585"/>
      <c r="E5" s="1585"/>
      <c r="F5" s="1585"/>
      <c r="G5" s="1585"/>
      <c r="H5" s="1585"/>
      <c r="I5" s="1585"/>
      <c r="J5" s="1585"/>
      <c r="K5" s="1585"/>
      <c r="M5" s="1509"/>
      <c r="N5" s="1510"/>
      <c r="O5" s="1511"/>
    </row>
    <row r="6" spans="3:15">
      <c r="C6" s="1585"/>
      <c r="D6" s="1585"/>
      <c r="E6" s="1585"/>
      <c r="F6" s="1585"/>
      <c r="G6" s="1585"/>
      <c r="H6" s="1585"/>
      <c r="I6" s="1585"/>
      <c r="J6" s="1585"/>
      <c r="K6" s="1585"/>
      <c r="M6" s="1509"/>
      <c r="N6" s="1510"/>
      <c r="O6" s="1511"/>
    </row>
    <row r="7" spans="3:15">
      <c r="M7" s="1509"/>
      <c r="N7" s="1510"/>
      <c r="O7" s="1511"/>
    </row>
    <row r="8" spans="3:15" ht="13" thickBot="1">
      <c r="C8" s="1585" t="s">
        <v>1610</v>
      </c>
      <c r="D8" s="1585"/>
      <c r="E8" s="1585"/>
      <c r="F8" s="1585"/>
      <c r="G8" s="1585"/>
      <c r="H8" s="1585"/>
      <c r="I8" s="1585"/>
      <c r="J8" s="1585"/>
      <c r="K8" s="1585"/>
      <c r="M8" s="1512"/>
      <c r="N8" s="1513"/>
      <c r="O8" s="1514"/>
    </row>
    <row r="9" spans="3:15" ht="13" thickTop="1">
      <c r="C9" s="1585"/>
      <c r="D9" s="1585"/>
      <c r="E9" s="1585"/>
      <c r="F9" s="1585"/>
      <c r="G9" s="1585"/>
      <c r="H9" s="1585"/>
      <c r="I9" s="1585"/>
      <c r="J9" s="1585"/>
      <c r="K9" s="1585"/>
      <c r="M9" s="1310"/>
      <c r="N9" s="1311"/>
      <c r="O9" s="1311"/>
    </row>
    <row r="10" spans="3:15">
      <c r="C10" s="1585"/>
      <c r="D10" s="1585"/>
      <c r="E10" s="1585"/>
      <c r="F10" s="1585"/>
      <c r="G10" s="1585"/>
      <c r="H10" s="1585"/>
      <c r="I10" s="1585"/>
      <c r="J10" s="1585"/>
      <c r="K10" s="1585"/>
      <c r="M10" s="1310"/>
      <c r="N10" s="1311"/>
      <c r="O10" s="1311"/>
    </row>
    <row r="11" spans="3:15" ht="6.75" customHeight="1"/>
    <row r="12" spans="3:15">
      <c r="C12" s="1585" t="s">
        <v>1611</v>
      </c>
      <c r="D12" s="1585"/>
      <c r="E12" s="1585"/>
      <c r="F12" s="1585"/>
      <c r="G12" s="1585"/>
      <c r="H12" s="1585"/>
      <c r="I12" s="1585"/>
      <c r="J12" s="1585"/>
      <c r="K12" s="1585"/>
      <c r="L12" s="1585"/>
      <c r="M12" s="1585"/>
      <c r="N12" s="1585"/>
      <c r="O12" s="1585"/>
    </row>
    <row r="13" spans="3:15">
      <c r="C13" s="1585"/>
      <c r="D13" s="1585"/>
      <c r="E13" s="1585"/>
      <c r="F13" s="1585"/>
      <c r="G13" s="1585"/>
      <c r="H13" s="1585"/>
      <c r="I13" s="1585"/>
      <c r="J13" s="1585"/>
      <c r="K13" s="1585"/>
      <c r="L13" s="1585"/>
      <c r="M13" s="1585"/>
      <c r="N13" s="1585"/>
      <c r="O13" s="1585"/>
    </row>
    <row r="14" spans="3:15">
      <c r="C14" s="1585"/>
      <c r="D14" s="1585"/>
      <c r="E14" s="1585"/>
      <c r="F14" s="1585"/>
      <c r="G14" s="1585"/>
      <c r="H14" s="1585"/>
      <c r="I14" s="1585"/>
      <c r="J14" s="1585"/>
      <c r="K14" s="1585"/>
      <c r="L14" s="1585"/>
      <c r="M14" s="1585"/>
      <c r="N14" s="1585"/>
      <c r="O14" s="1585"/>
    </row>
    <row r="15" spans="3:15">
      <c r="C15" s="1585"/>
      <c r="D15" s="1585"/>
      <c r="E15" s="1585"/>
      <c r="F15" s="1585"/>
      <c r="G15" s="1585"/>
      <c r="H15" s="1585"/>
      <c r="I15" s="1585"/>
      <c r="J15" s="1585"/>
      <c r="K15" s="1585"/>
      <c r="L15" s="1585"/>
      <c r="M15" s="1585"/>
      <c r="N15" s="1585"/>
      <c r="O15" s="1585"/>
    </row>
    <row r="16" spans="3:15">
      <c r="C16" s="1585"/>
      <c r="D16" s="1585"/>
      <c r="E16" s="1585"/>
      <c r="F16" s="1585"/>
      <c r="G16" s="1585"/>
      <c r="H16" s="1585"/>
      <c r="I16" s="1585"/>
      <c r="J16" s="1585"/>
      <c r="K16" s="1585"/>
      <c r="L16" s="1585"/>
      <c r="M16" s="1585"/>
      <c r="N16" s="1585"/>
      <c r="O16" s="1585"/>
    </row>
    <row r="17" spans="3:15" ht="6.75" customHeight="1"/>
    <row r="18" spans="3:15" ht="13">
      <c r="C18" s="772" t="s">
        <v>1621</v>
      </c>
    </row>
    <row r="19" spans="3:15">
      <c r="C19" s="1585" t="s">
        <v>1617</v>
      </c>
      <c r="D19" s="1585"/>
      <c r="E19" s="1585"/>
      <c r="F19" s="1585"/>
      <c r="G19" s="1585"/>
      <c r="H19" s="1585"/>
      <c r="I19" s="1585"/>
      <c r="J19" s="1585"/>
      <c r="K19" s="1585"/>
      <c r="L19" s="1585"/>
      <c r="M19" s="1585"/>
      <c r="N19" s="1585"/>
      <c r="O19" s="1585"/>
    </row>
    <row r="20" spans="3:15" ht="6.75" customHeight="1"/>
    <row r="21" spans="3:15">
      <c r="C21" s="1585" t="s">
        <v>1612</v>
      </c>
      <c r="D21" s="1585"/>
      <c r="E21" s="1585"/>
      <c r="F21" s="1585"/>
      <c r="G21" s="1585"/>
      <c r="H21" s="1585"/>
      <c r="I21" s="1585"/>
      <c r="J21" s="1585"/>
      <c r="K21" s="1585"/>
      <c r="L21" s="1585"/>
      <c r="M21" s="1585"/>
      <c r="N21" s="1585"/>
      <c r="O21" s="1585"/>
    </row>
    <row r="22" spans="3:15" ht="6.75" customHeight="1"/>
    <row r="23" spans="3:15">
      <c r="C23" s="1585" t="s">
        <v>1613</v>
      </c>
      <c r="D23" s="1585"/>
      <c r="E23" s="1585"/>
      <c r="F23" s="1585"/>
      <c r="G23" s="1585"/>
      <c r="H23" s="1585"/>
      <c r="I23" s="1585"/>
      <c r="J23" s="1585"/>
      <c r="K23" s="1585"/>
      <c r="L23" s="1585"/>
      <c r="M23" s="1585"/>
      <c r="N23" s="1585"/>
      <c r="O23" s="1585"/>
    </row>
    <row r="24" spans="3:15">
      <c r="C24" s="1585"/>
      <c r="D24" s="1585"/>
      <c r="E24" s="1585"/>
      <c r="F24" s="1585"/>
      <c r="G24" s="1585"/>
      <c r="H24" s="1585"/>
      <c r="I24" s="1585"/>
      <c r="J24" s="1585"/>
      <c r="K24" s="1585"/>
      <c r="L24" s="1585"/>
      <c r="M24" s="1585"/>
      <c r="N24" s="1585"/>
      <c r="O24" s="1585"/>
    </row>
    <row r="25" spans="3:15" ht="4.5" customHeight="1" thickBot="1">
      <c r="C25" s="263"/>
      <c r="D25" s="263"/>
      <c r="E25" s="263"/>
      <c r="F25" s="263"/>
      <c r="G25" s="263"/>
      <c r="H25" s="263"/>
      <c r="I25" s="263"/>
      <c r="J25" s="263"/>
      <c r="K25" s="263"/>
      <c r="L25" s="263"/>
      <c r="M25" s="263"/>
      <c r="N25" s="263"/>
      <c r="O25" s="263"/>
    </row>
    <row r="26" spans="3:15" ht="13" thickTop="1">
      <c r="C26" s="857"/>
      <c r="D26" s="857" t="s">
        <v>1363</v>
      </c>
      <c r="E26" s="857" t="s">
        <v>1364</v>
      </c>
      <c r="F26" s="857" t="s">
        <v>1473</v>
      </c>
      <c r="G26" s="857" t="s">
        <v>1474</v>
      </c>
      <c r="H26" s="857" t="s">
        <v>1475</v>
      </c>
      <c r="I26" s="857" t="s">
        <v>1476</v>
      </c>
      <c r="J26" s="857" t="s">
        <v>497</v>
      </c>
      <c r="K26" s="857" t="s">
        <v>1511</v>
      </c>
      <c r="M26" s="1545" t="str">
        <f ca="1">OFFSET(ad_first,OFFSET(ads_top,ROW(ads_fn_MATCH)-1,2),0)</f>
        <v>We can tailor courses to specific audiences - e.g. audiences with a derivatives focus.</v>
      </c>
      <c r="N26" s="1689"/>
      <c r="O26" s="1690"/>
    </row>
    <row r="27" spans="3:15" ht="13" thickBot="1">
      <c r="C27" s="857">
        <v>1</v>
      </c>
      <c r="D27" s="791"/>
      <c r="E27" s="791"/>
      <c r="F27" s="958"/>
      <c r="G27" s="958"/>
      <c r="H27" s="958"/>
      <c r="I27" s="958"/>
      <c r="J27" s="958"/>
      <c r="K27" s="791"/>
      <c r="M27" s="1691"/>
      <c r="N27" s="1692"/>
      <c r="O27" s="1693"/>
    </row>
    <row r="28" spans="3:15" ht="13" thickBot="1">
      <c r="C28" s="857">
        <v>2</v>
      </c>
      <c r="D28" s="791"/>
      <c r="E28" s="1018"/>
      <c r="F28" s="1020" t="s">
        <v>1363</v>
      </c>
      <c r="G28" s="1017" t="s">
        <v>1473</v>
      </c>
      <c r="H28" s="1017" t="s">
        <v>1476</v>
      </c>
      <c r="I28" s="1017" t="s">
        <v>497</v>
      </c>
      <c r="J28" s="1021" t="s">
        <v>1364</v>
      </c>
      <c r="K28" s="809"/>
      <c r="M28" s="1691"/>
      <c r="N28" s="1692"/>
      <c r="O28" s="1693"/>
    </row>
    <row r="29" spans="3:15">
      <c r="C29" s="857">
        <v>3</v>
      </c>
      <c r="D29" s="791"/>
      <c r="E29" s="791"/>
      <c r="F29" s="963"/>
      <c r="G29" s="963"/>
      <c r="H29" s="963"/>
      <c r="I29" s="963"/>
      <c r="J29" s="963"/>
      <c r="K29" s="791"/>
      <c r="M29" s="1691"/>
      <c r="N29" s="1692"/>
      <c r="O29" s="1693"/>
    </row>
    <row r="30" spans="3:15" ht="13" thickBot="1">
      <c r="C30" s="857">
        <v>4</v>
      </c>
      <c r="D30" s="791">
        <f>MATCH("A",$F$28:$J$28,0)</f>
        <v>1</v>
      </c>
      <c r="E30" s="900" t="s">
        <v>115</v>
      </c>
      <c r="F30" s="791"/>
      <c r="G30" s="791"/>
      <c r="H30" s="791"/>
      <c r="I30" s="791"/>
      <c r="J30" s="791"/>
      <c r="K30" s="791"/>
      <c r="M30" s="1694"/>
      <c r="N30" s="1695"/>
      <c r="O30" s="1696"/>
    </row>
    <row r="31" spans="3:15" ht="13" thickTop="1">
      <c r="C31" s="857">
        <v>5</v>
      </c>
      <c r="D31" s="791">
        <f>MATCH("B",$F$28:$J$28,0)</f>
        <v>5</v>
      </c>
      <c r="E31" s="900" t="s">
        <v>1434</v>
      </c>
      <c r="F31" s="791"/>
      <c r="G31" s="791"/>
      <c r="H31" s="791"/>
      <c r="I31" s="791"/>
      <c r="J31" s="791"/>
      <c r="K31" s="791"/>
    </row>
    <row r="32" spans="3:15">
      <c r="C32" s="857">
        <v>6</v>
      </c>
      <c r="D32" s="791" t="e">
        <f>MATCH("D",$F$28:$J$28,0)</f>
        <v>#N/A</v>
      </c>
      <c r="E32" s="900" t="s">
        <v>1435</v>
      </c>
      <c r="F32" s="791"/>
      <c r="G32" s="791"/>
      <c r="H32" s="791"/>
      <c r="I32" s="791"/>
      <c r="J32" s="791"/>
      <c r="K32" s="791"/>
    </row>
    <row r="33" spans="3:15">
      <c r="C33" s="857">
        <v>7</v>
      </c>
      <c r="D33" s="791"/>
      <c r="E33" s="791"/>
      <c r="F33" s="791"/>
      <c r="G33" s="791"/>
      <c r="H33" s="791"/>
      <c r="I33" s="791"/>
      <c r="J33" s="791"/>
      <c r="K33" s="791"/>
    </row>
    <row r="34" spans="3:15"/>
    <row r="35" spans="3:15" ht="13">
      <c r="C35" s="772" t="s">
        <v>1622</v>
      </c>
    </row>
    <row r="36" spans="3:15">
      <c r="C36" s="1585" t="s">
        <v>1618</v>
      </c>
      <c r="D36" s="1585"/>
      <c r="E36" s="1585"/>
      <c r="F36" s="1585"/>
      <c r="G36" s="1585"/>
      <c r="H36" s="1585"/>
      <c r="I36" s="1585"/>
      <c r="J36" s="1585"/>
      <c r="K36" s="1585"/>
      <c r="L36" s="1585"/>
      <c r="M36" s="1585"/>
      <c r="N36" s="1585"/>
      <c r="O36" s="1585"/>
    </row>
    <row r="37" spans="3:15">
      <c r="C37" s="1585"/>
      <c r="D37" s="1585"/>
      <c r="E37" s="1585"/>
      <c r="F37" s="1585"/>
      <c r="G37" s="1585"/>
      <c r="H37" s="1585"/>
      <c r="I37" s="1585"/>
      <c r="J37" s="1585"/>
      <c r="K37" s="1585"/>
      <c r="L37" s="1585"/>
      <c r="M37" s="1585"/>
      <c r="N37" s="1585"/>
      <c r="O37" s="1585"/>
    </row>
    <row r="38" spans="3:15"/>
    <row r="39" spans="3:15">
      <c r="C39" s="1585" t="s">
        <v>1619</v>
      </c>
      <c r="D39" s="1585"/>
      <c r="E39" s="1585"/>
      <c r="F39" s="1585"/>
      <c r="G39" s="1585"/>
      <c r="H39" s="1585"/>
      <c r="I39" s="1585"/>
      <c r="J39" s="1585"/>
      <c r="K39" s="1585"/>
      <c r="L39" s="1585"/>
      <c r="M39" s="1585"/>
      <c r="N39" s="1585"/>
      <c r="O39" s="1585"/>
    </row>
    <row r="40" spans="3:15">
      <c r="C40" s="1585"/>
      <c r="D40" s="1585"/>
      <c r="E40" s="1585"/>
      <c r="F40" s="1585"/>
      <c r="G40" s="1585"/>
      <c r="H40" s="1585"/>
      <c r="I40" s="1585"/>
      <c r="J40" s="1585"/>
      <c r="K40" s="1585"/>
      <c r="L40" s="1585"/>
      <c r="M40" s="1585"/>
      <c r="N40" s="1585"/>
      <c r="O40" s="1585"/>
    </row>
    <row r="41" spans="3:15"/>
    <row r="42" spans="3:15">
      <c r="C42" s="1585" t="s">
        <v>1616</v>
      </c>
      <c r="D42" s="1585"/>
      <c r="E42" s="1585"/>
      <c r="F42" s="1585"/>
      <c r="G42" s="1585"/>
      <c r="H42" s="1585"/>
      <c r="I42" s="1585"/>
      <c r="J42" s="1585"/>
      <c r="K42" s="1585"/>
      <c r="L42" s="1585"/>
      <c r="M42" s="1585"/>
      <c r="N42" s="1585"/>
      <c r="O42" s="1585"/>
    </row>
    <row r="43" spans="3:15">
      <c r="C43" s="1585"/>
      <c r="D43" s="1585"/>
      <c r="E43" s="1585"/>
      <c r="F43" s="1585"/>
      <c r="G43" s="1585"/>
      <c r="H43" s="1585"/>
      <c r="I43" s="1585"/>
      <c r="J43" s="1585"/>
      <c r="K43" s="1585"/>
      <c r="L43" s="1585"/>
      <c r="M43" s="1585"/>
      <c r="N43" s="1585"/>
      <c r="O43" s="1585"/>
    </row>
    <row r="44" spans="3:15">
      <c r="C44" s="1585"/>
      <c r="D44" s="1585"/>
      <c r="E44" s="1585"/>
      <c r="F44" s="1585"/>
      <c r="G44" s="1585"/>
      <c r="H44" s="1585"/>
      <c r="I44" s="1585"/>
      <c r="J44" s="1585"/>
      <c r="K44" s="1585"/>
      <c r="L44" s="1585"/>
      <c r="M44" s="1585"/>
      <c r="N44" s="1585"/>
      <c r="O44" s="1585"/>
    </row>
    <row r="45" spans="3:15"/>
    <row r="46" spans="3:15">
      <c r="C46" s="1585" t="s">
        <v>1620</v>
      </c>
      <c r="D46" s="1585"/>
      <c r="E46" s="1585"/>
      <c r="F46" s="1585"/>
      <c r="G46" s="1585"/>
      <c r="H46" s="1585"/>
      <c r="I46" s="1585"/>
      <c r="J46" s="1585"/>
      <c r="K46" s="1585"/>
      <c r="L46" s="1585"/>
      <c r="M46" s="1585"/>
      <c r="N46" s="1585"/>
      <c r="O46" s="1585"/>
    </row>
    <row r="47" spans="3:15">
      <c r="C47" s="1585"/>
      <c r="D47" s="1585"/>
      <c r="E47" s="1585"/>
      <c r="F47" s="1585"/>
      <c r="G47" s="1585"/>
      <c r="H47" s="1585"/>
      <c r="I47" s="1585"/>
      <c r="J47" s="1585"/>
      <c r="K47" s="1585"/>
      <c r="L47" s="1585"/>
      <c r="M47" s="1585"/>
      <c r="N47" s="1585"/>
      <c r="O47" s="1585"/>
    </row>
    <row r="48" spans="3:15" ht="13" thickBot="1">
      <c r="C48" s="1585"/>
      <c r="D48" s="1585"/>
      <c r="E48" s="1585"/>
      <c r="F48" s="1585"/>
      <c r="G48" s="1585"/>
      <c r="H48" s="1585"/>
      <c r="I48" s="1585"/>
      <c r="J48" s="1585"/>
      <c r="K48" s="1585"/>
      <c r="L48" s="1585"/>
      <c r="M48" s="1585"/>
      <c r="N48" s="1585"/>
      <c r="O48" s="1585"/>
    </row>
    <row r="49" spans="3:15" ht="13" thickTop="1">
      <c r="C49" s="857"/>
      <c r="D49" s="857" t="s">
        <v>1363</v>
      </c>
      <c r="E49" s="857" t="s">
        <v>1364</v>
      </c>
      <c r="F49" s="857" t="s">
        <v>1473</v>
      </c>
      <c r="G49" s="857" t="s">
        <v>1474</v>
      </c>
      <c r="H49" s="857" t="s">
        <v>1475</v>
      </c>
      <c r="I49" s="857" t="s">
        <v>1476</v>
      </c>
      <c r="J49" s="857" t="s">
        <v>497</v>
      </c>
      <c r="K49" s="857" t="s">
        <v>1511</v>
      </c>
      <c r="M49" s="1545" t="str">
        <f ca="1">OFFSET(ad_first,OFFSET(ads_top,ROW(ads_fn_MATCH)-1,3),0)</f>
        <v>Our financial modelling course shows the essential building blocks of efficient and well-presented financial models</v>
      </c>
      <c r="N49" s="1689"/>
      <c r="O49" s="1690"/>
    </row>
    <row r="50" spans="3:15" ht="13" thickBot="1">
      <c r="C50" s="857">
        <v>1</v>
      </c>
      <c r="D50" s="791"/>
      <c r="E50" s="791"/>
      <c r="F50" s="958"/>
      <c r="G50" s="958"/>
      <c r="H50" s="958"/>
      <c r="I50" s="958"/>
      <c r="J50" s="958"/>
      <c r="K50" s="791"/>
      <c r="M50" s="1691"/>
      <c r="N50" s="1692"/>
      <c r="O50" s="1693"/>
    </row>
    <row r="51" spans="3:15" ht="13" thickBot="1">
      <c r="C51" s="857">
        <v>2</v>
      </c>
      <c r="D51" s="791"/>
      <c r="E51" s="1018"/>
      <c r="F51" s="1020" t="s">
        <v>1364</v>
      </c>
      <c r="G51" s="1017" t="s">
        <v>1473</v>
      </c>
      <c r="H51" s="1017" t="s">
        <v>1475</v>
      </c>
      <c r="I51" s="1017" t="s">
        <v>497</v>
      </c>
      <c r="J51" s="1021" t="s">
        <v>1512</v>
      </c>
      <c r="K51" s="809"/>
      <c r="M51" s="1691"/>
      <c r="N51" s="1692"/>
      <c r="O51" s="1693"/>
    </row>
    <row r="52" spans="3:15">
      <c r="C52" s="857">
        <v>3</v>
      </c>
      <c r="D52" s="791"/>
      <c r="E52" s="791"/>
      <c r="F52" s="963"/>
      <c r="G52" s="963"/>
      <c r="H52" s="963"/>
      <c r="I52" s="963"/>
      <c r="J52" s="963"/>
      <c r="K52" s="791"/>
      <c r="M52" s="1691"/>
      <c r="N52" s="1692"/>
      <c r="O52" s="1693"/>
    </row>
    <row r="53" spans="3:15" ht="13" thickBot="1">
      <c r="C53" s="857">
        <v>4</v>
      </c>
      <c r="D53" s="791">
        <f>MATCH("C",$F$51:$J$51,1)</f>
        <v>2</v>
      </c>
      <c r="E53" s="900" t="s">
        <v>1615</v>
      </c>
      <c r="F53" s="791"/>
      <c r="G53" s="791"/>
      <c r="H53" s="791"/>
      <c r="I53" s="791"/>
      <c r="J53" s="791"/>
      <c r="K53" s="791"/>
      <c r="M53" s="1694"/>
      <c r="N53" s="1695"/>
      <c r="O53" s="1696"/>
    </row>
    <row r="54" spans="3:15" ht="13" thickTop="1">
      <c r="C54" s="857">
        <f>C53+1</f>
        <v>5</v>
      </c>
      <c r="D54" s="791">
        <f>MATCH("F",$F$51:$J$51,1)</f>
        <v>3</v>
      </c>
      <c r="E54" s="900" t="s">
        <v>1614</v>
      </c>
      <c r="F54" s="791"/>
      <c r="G54" s="791"/>
      <c r="H54" s="791"/>
      <c r="I54" s="791"/>
      <c r="J54" s="791"/>
      <c r="K54" s="791"/>
    </row>
    <row r="55" spans="3:15">
      <c r="C55" s="857">
        <f>C54+1</f>
        <v>6</v>
      </c>
      <c r="D55" s="791" t="e">
        <f>MATCH("A",$F$51:$J$51,1)</f>
        <v>#N/A</v>
      </c>
      <c r="E55" s="900" t="s">
        <v>1436</v>
      </c>
      <c r="F55" s="791"/>
      <c r="G55" s="791"/>
      <c r="H55" s="791"/>
      <c r="I55" s="791"/>
      <c r="J55" s="791"/>
      <c r="K55" s="791"/>
    </row>
    <row r="56" spans="3:15">
      <c r="C56" s="857">
        <f>C55+1</f>
        <v>7</v>
      </c>
      <c r="D56" s="791"/>
      <c r="E56" s="791"/>
      <c r="F56" s="791"/>
      <c r="G56" s="791"/>
      <c r="H56" s="791"/>
      <c r="I56" s="791"/>
      <c r="J56" s="791"/>
      <c r="K56" s="791"/>
    </row>
    <row r="57" spans="3:15"/>
    <row r="58" spans="3:15" ht="13">
      <c r="C58" s="772" t="s">
        <v>1623</v>
      </c>
    </row>
    <row r="59" spans="3:15">
      <c r="C59" s="1585" t="s">
        <v>1624</v>
      </c>
      <c r="D59" s="1585"/>
      <c r="E59" s="1585"/>
      <c r="F59" s="1585"/>
      <c r="G59" s="1585"/>
      <c r="H59" s="1585"/>
      <c r="I59" s="1585"/>
      <c r="J59" s="1585"/>
      <c r="K59" s="1585"/>
      <c r="L59" s="1585"/>
      <c r="M59" s="1585"/>
      <c r="N59" s="1585"/>
      <c r="O59" s="1585"/>
    </row>
    <row r="60" spans="3:15">
      <c r="C60" s="1585"/>
      <c r="D60" s="1585"/>
      <c r="E60" s="1585"/>
      <c r="F60" s="1585"/>
      <c r="G60" s="1585"/>
      <c r="H60" s="1585"/>
      <c r="I60" s="1585"/>
      <c r="J60" s="1585"/>
      <c r="K60" s="1585"/>
      <c r="L60" s="1585"/>
      <c r="M60" s="1585"/>
      <c r="N60" s="1585"/>
      <c r="O60" s="1585"/>
    </row>
    <row r="61" spans="3:15">
      <c r="C61" s="1585"/>
      <c r="D61" s="1585"/>
      <c r="E61" s="1585"/>
      <c r="F61" s="1585"/>
      <c r="G61" s="1585"/>
      <c r="H61" s="1585"/>
      <c r="I61" s="1585"/>
      <c r="J61" s="1585"/>
      <c r="K61" s="1585"/>
      <c r="L61" s="1585"/>
      <c r="M61" s="1585"/>
      <c r="N61" s="1585"/>
      <c r="O61" s="1585"/>
    </row>
    <row r="62" spans="3:15">
      <c r="C62" s="1585" t="s">
        <v>1634</v>
      </c>
      <c r="D62" s="1585"/>
      <c r="E62" s="1585"/>
      <c r="F62" s="1585"/>
      <c r="G62" s="1585"/>
      <c r="H62" s="1585"/>
      <c r="I62" s="1585"/>
      <c r="J62" s="1585"/>
      <c r="K62" s="1585"/>
      <c r="L62" s="1585"/>
      <c r="M62" s="1585"/>
      <c r="N62" s="1585"/>
      <c r="O62" s="1585"/>
    </row>
    <row r="63" spans="3:15">
      <c r="C63" s="1585"/>
      <c r="D63" s="1585"/>
      <c r="E63" s="1585"/>
      <c r="F63" s="1585"/>
      <c r="G63" s="1585"/>
      <c r="H63" s="1585"/>
      <c r="I63" s="1585"/>
      <c r="J63" s="1585"/>
      <c r="K63" s="1585"/>
      <c r="L63" s="1585"/>
      <c r="M63" s="1585"/>
      <c r="N63" s="1585"/>
      <c r="O63" s="1585"/>
    </row>
    <row r="64" spans="3:15" ht="13" thickBot="1"/>
    <row r="65" spans="3:15" ht="13" thickTop="1">
      <c r="C65" s="857"/>
      <c r="D65" s="857" t="s">
        <v>1363</v>
      </c>
      <c r="E65" s="857" t="s">
        <v>1364</v>
      </c>
      <c r="F65" s="857" t="s">
        <v>1473</v>
      </c>
      <c r="G65" s="857" t="s">
        <v>1474</v>
      </c>
      <c r="H65" s="857" t="s">
        <v>1475</v>
      </c>
      <c r="I65" s="857" t="s">
        <v>1476</v>
      </c>
      <c r="J65" s="857" t="s">
        <v>497</v>
      </c>
      <c r="K65" s="857" t="s">
        <v>1511</v>
      </c>
      <c r="M65" s="1545" t="str">
        <f ca="1">OFFSET(ad_first,OFFSET(ads_top,ROW(ads_fn_MATCH)-1,4),0)</f>
        <v>We can customise our courses for particular audiences.</v>
      </c>
      <c r="N65" s="1689"/>
      <c r="O65" s="1690"/>
    </row>
    <row r="66" spans="3:15" ht="13" thickBot="1">
      <c r="C66" s="857">
        <v>1</v>
      </c>
      <c r="D66" s="791"/>
      <c r="E66" s="791"/>
      <c r="F66" s="958"/>
      <c r="G66" s="958"/>
      <c r="H66" s="958"/>
      <c r="I66" s="958"/>
      <c r="J66" s="958"/>
      <c r="K66" s="791"/>
      <c r="M66" s="1691"/>
      <c r="N66" s="1692"/>
      <c r="O66" s="1693"/>
    </row>
    <row r="67" spans="3:15" ht="13" thickBot="1">
      <c r="C67" s="857">
        <v>2</v>
      </c>
      <c r="D67" s="791"/>
      <c r="E67" s="1018"/>
      <c r="F67" s="1020" t="s">
        <v>1511</v>
      </c>
      <c r="G67" s="1017" t="s">
        <v>1476</v>
      </c>
      <c r="H67" s="1017" t="s">
        <v>1473</v>
      </c>
      <c r="I67" s="1017" t="s">
        <v>1364</v>
      </c>
      <c r="J67" s="1021" t="s">
        <v>1363</v>
      </c>
      <c r="K67" s="809"/>
      <c r="M67" s="1691"/>
      <c r="N67" s="1692"/>
      <c r="O67" s="1693"/>
    </row>
    <row r="68" spans="3:15">
      <c r="C68" s="857">
        <v>3</v>
      </c>
      <c r="D68" s="791"/>
      <c r="E68" s="791"/>
      <c r="F68" s="963"/>
      <c r="G68" s="963"/>
      <c r="H68" s="963"/>
      <c r="I68" s="963"/>
      <c r="J68" s="963"/>
      <c r="K68" s="791"/>
      <c r="M68" s="1691"/>
      <c r="N68" s="1692"/>
      <c r="O68" s="1693"/>
    </row>
    <row r="69" spans="3:15" ht="13" thickBot="1">
      <c r="C69" s="857">
        <v>4</v>
      </c>
      <c r="D69" s="791">
        <f>MATCH("D",$F$67:$J$67,-1)</f>
        <v>2</v>
      </c>
      <c r="E69" s="900" t="s">
        <v>1437</v>
      </c>
      <c r="F69" s="791"/>
      <c r="G69" s="791"/>
      <c r="H69" s="791"/>
      <c r="I69" s="791"/>
      <c r="J69" s="791"/>
      <c r="K69" s="791"/>
      <c r="M69" s="1694"/>
      <c r="N69" s="1695"/>
      <c r="O69" s="1696"/>
    </row>
    <row r="70" spans="3:15" ht="13" thickTop="1">
      <c r="C70" s="857">
        <v>5</v>
      </c>
      <c r="D70" s="791"/>
      <c r="E70" s="791"/>
      <c r="F70" s="791"/>
      <c r="G70" s="791"/>
      <c r="H70" s="791"/>
      <c r="I70" s="791"/>
      <c r="J70" s="791"/>
      <c r="K70" s="791"/>
    </row>
    <row r="71" spans="3:15">
      <c r="C71" s="74"/>
      <c r="D71" s="33"/>
      <c r="E71" s="33"/>
      <c r="F71" s="33"/>
      <c r="G71" s="33"/>
      <c r="H71" s="33"/>
      <c r="I71" s="33"/>
      <c r="J71" s="33"/>
      <c r="K71" s="33"/>
    </row>
    <row r="72" spans="3:15" ht="13">
      <c r="C72" s="1371" t="s">
        <v>1635</v>
      </c>
      <c r="D72" s="33"/>
      <c r="E72" s="33"/>
      <c r="F72" s="33"/>
      <c r="G72" s="33"/>
      <c r="H72" s="33"/>
      <c r="I72" s="33"/>
      <c r="J72" s="33"/>
      <c r="K72" s="33"/>
    </row>
    <row r="73" spans="3:15">
      <c r="C73" s="1713" t="s">
        <v>1639</v>
      </c>
      <c r="D73" s="1516"/>
      <c r="E73" s="1516"/>
      <c r="F73" s="1516"/>
      <c r="G73" s="1516"/>
      <c r="H73" s="1516"/>
      <c r="I73" s="1516"/>
      <c r="J73" s="1516"/>
      <c r="K73" s="1516"/>
      <c r="L73" s="1516"/>
      <c r="M73" s="1516"/>
      <c r="N73" s="1516"/>
      <c r="O73" s="1516"/>
    </row>
    <row r="74" spans="3:15">
      <c r="C74" s="1516"/>
      <c r="D74" s="1516"/>
      <c r="E74" s="1516"/>
      <c r="F74" s="1516"/>
      <c r="G74" s="1516"/>
      <c r="H74" s="1516"/>
      <c r="I74" s="1516"/>
      <c r="J74" s="1516"/>
      <c r="K74" s="1516"/>
      <c r="L74" s="1516"/>
      <c r="M74" s="1516"/>
      <c r="N74" s="1516"/>
      <c r="O74" s="1516"/>
    </row>
    <row r="75" spans="3:15">
      <c r="C75" s="1516"/>
      <c r="D75" s="1516"/>
      <c r="E75" s="1516"/>
      <c r="F75" s="1516"/>
      <c r="G75" s="1516"/>
      <c r="H75" s="1516"/>
      <c r="I75" s="1516"/>
      <c r="J75" s="1516"/>
      <c r="K75" s="1516"/>
      <c r="L75" s="1516"/>
      <c r="M75" s="1516"/>
      <c r="N75" s="1516"/>
      <c r="O75" s="1516"/>
    </row>
    <row r="76" spans="3:15">
      <c r="C76" s="1516"/>
      <c r="D76" s="1516"/>
      <c r="E76" s="1516"/>
      <c r="F76" s="1516"/>
      <c r="G76" s="1516"/>
      <c r="H76" s="1516"/>
      <c r="I76" s="1516"/>
      <c r="J76" s="1516"/>
      <c r="K76" s="1516"/>
      <c r="L76" s="1516"/>
      <c r="M76" s="1516"/>
      <c r="N76" s="1516"/>
      <c r="O76" s="1516"/>
    </row>
    <row r="77" spans="3:15">
      <c r="C77" s="857"/>
      <c r="D77" s="857" t="s">
        <v>1363</v>
      </c>
      <c r="E77" s="857" t="s">
        <v>1364</v>
      </c>
      <c r="F77" s="857" t="s">
        <v>1473</v>
      </c>
      <c r="G77" s="857" t="s">
        <v>1474</v>
      </c>
      <c r="H77" s="857" t="s">
        <v>1475</v>
      </c>
      <c r="I77" s="857" t="s">
        <v>1476</v>
      </c>
      <c r="J77" s="328"/>
      <c r="K77" s="1714" t="s">
        <v>1640</v>
      </c>
      <c r="L77" s="1516"/>
      <c r="M77" s="1516"/>
      <c r="N77" s="1516"/>
      <c r="O77" s="1516"/>
    </row>
    <row r="78" spans="3:15" ht="13" thickBot="1">
      <c r="C78" s="857">
        <v>1</v>
      </c>
      <c r="D78" s="1716" t="s">
        <v>1629</v>
      </c>
      <c r="E78" s="1717"/>
      <c r="F78" s="958"/>
      <c r="G78" s="791"/>
      <c r="H78" s="791"/>
      <c r="I78" s="791"/>
      <c r="J78" s="1315"/>
      <c r="K78" s="1516"/>
      <c r="L78" s="1516"/>
      <c r="M78" s="1516"/>
      <c r="N78" s="1516"/>
      <c r="O78" s="1516"/>
    </row>
    <row r="79" spans="3:15" ht="13" thickBot="1">
      <c r="C79" s="857">
        <f>C78+1</f>
        <v>2</v>
      </c>
      <c r="D79" s="782" t="s">
        <v>641</v>
      </c>
      <c r="E79" s="1023" t="s">
        <v>571</v>
      </c>
      <c r="F79" s="1365" t="s">
        <v>1636</v>
      </c>
      <c r="G79" s="1362"/>
      <c r="H79" s="791"/>
      <c r="I79" s="791"/>
      <c r="J79" s="1315"/>
      <c r="K79" s="1516"/>
      <c r="L79" s="1516"/>
      <c r="M79" s="1516"/>
      <c r="N79" s="1516"/>
      <c r="O79" s="1516"/>
    </row>
    <row r="80" spans="3:15" ht="13" thickBot="1">
      <c r="C80" s="949">
        <f t="shared" ref="C80:C97" si="0">C79+1</f>
        <v>3</v>
      </c>
      <c r="D80" s="784">
        <v>1998</v>
      </c>
      <c r="E80" s="1363">
        <v>1</v>
      </c>
      <c r="F80" s="1368">
        <f>IF(E80&gt;0,SUM(F79,1),0)</f>
        <v>1</v>
      </c>
      <c r="G80" s="1027" t="s">
        <v>1637</v>
      </c>
      <c r="H80" s="791"/>
      <c r="I80" s="791"/>
      <c r="J80" s="1315"/>
      <c r="K80" s="1518"/>
      <c r="L80" s="1518"/>
      <c r="M80" s="1518"/>
      <c r="N80" s="1518"/>
      <c r="O80" s="1518"/>
    </row>
    <row r="81" spans="3:15">
      <c r="C81" s="857">
        <f t="shared" si="0"/>
        <v>4</v>
      </c>
      <c r="D81" s="790">
        <v>1999</v>
      </c>
      <c r="E81" s="1364">
        <v>-1</v>
      </c>
      <c r="F81" s="1369">
        <f t="shared" ref="F81:F91" si="1">IF(E81&gt;0,SUM(F80,1),0)</f>
        <v>0</v>
      </c>
      <c r="G81" s="1361"/>
      <c r="H81" s="791"/>
      <c r="I81" s="791"/>
      <c r="J81" s="1315"/>
      <c r="K81" s="1366"/>
      <c r="L81" s="1366"/>
      <c r="M81" s="1366"/>
      <c r="N81" s="1366"/>
      <c r="O81" s="1366"/>
    </row>
    <row r="82" spans="3:15">
      <c r="C82" s="857">
        <f t="shared" si="0"/>
        <v>5</v>
      </c>
      <c r="D82" s="789">
        <v>2000</v>
      </c>
      <c r="E82" s="793">
        <v>-1</v>
      </c>
      <c r="F82" s="1369">
        <f t="shared" si="1"/>
        <v>0</v>
      </c>
      <c r="G82" s="1361"/>
      <c r="H82" s="791"/>
      <c r="I82" s="791"/>
      <c r="J82" s="1315"/>
      <c r="K82" s="1715" t="s">
        <v>475</v>
      </c>
      <c r="L82" s="1715"/>
      <c r="M82" s="1715"/>
      <c r="N82" s="1715"/>
      <c r="O82" s="1715"/>
    </row>
    <row r="83" spans="3:15">
      <c r="C83" s="857">
        <f t="shared" si="0"/>
        <v>6</v>
      </c>
      <c r="D83" s="789">
        <v>2001</v>
      </c>
      <c r="E83" s="793">
        <v>1</v>
      </c>
      <c r="F83" s="1369">
        <f t="shared" si="1"/>
        <v>1</v>
      </c>
      <c r="G83" s="1361"/>
      <c r="H83" s="791"/>
      <c r="I83" s="791"/>
      <c r="J83" s="1315"/>
      <c r="K83" s="1715"/>
      <c r="L83" s="1715"/>
      <c r="M83" s="1715"/>
      <c r="N83" s="1715"/>
      <c r="O83" s="1715"/>
    </row>
    <row r="84" spans="3:15">
      <c r="C84" s="857">
        <f t="shared" si="0"/>
        <v>7</v>
      </c>
      <c r="D84" s="789">
        <v>2002</v>
      </c>
      <c r="E84" s="793">
        <v>1</v>
      </c>
      <c r="F84" s="1369">
        <f t="shared" si="1"/>
        <v>2</v>
      </c>
      <c r="G84" s="1361"/>
      <c r="H84" s="791"/>
      <c r="I84" s="791"/>
      <c r="J84" s="1315"/>
      <c r="K84" s="1715"/>
      <c r="L84" s="1715"/>
      <c r="M84" s="1715"/>
      <c r="N84" s="1715"/>
      <c r="O84" s="1715"/>
    </row>
    <row r="85" spans="3:15">
      <c r="C85" s="857">
        <f t="shared" si="0"/>
        <v>8</v>
      </c>
      <c r="D85" s="789">
        <v>2003</v>
      </c>
      <c r="E85" s="1372">
        <v>-1</v>
      </c>
      <c r="F85" s="1369">
        <f t="shared" si="1"/>
        <v>0</v>
      </c>
      <c r="G85" s="1361"/>
      <c r="H85" s="791"/>
      <c r="I85" s="791"/>
      <c r="J85" s="1315"/>
      <c r="K85" s="1715"/>
      <c r="L85" s="1715"/>
      <c r="M85" s="1715"/>
      <c r="N85" s="1715"/>
      <c r="O85" s="1715"/>
    </row>
    <row r="86" spans="3:15">
      <c r="C86" s="857">
        <f t="shared" si="0"/>
        <v>9</v>
      </c>
      <c r="D86" s="789">
        <v>2004</v>
      </c>
      <c r="E86" s="793">
        <v>-1</v>
      </c>
      <c r="F86" s="1369">
        <f t="shared" si="1"/>
        <v>0</v>
      </c>
      <c r="G86" s="1361"/>
      <c r="H86" s="791"/>
      <c r="I86" s="791"/>
      <c r="J86" s="1315"/>
      <c r="K86" s="1715"/>
      <c r="L86" s="1715"/>
      <c r="M86" s="1715"/>
      <c r="N86" s="1715"/>
      <c r="O86" s="1715"/>
    </row>
    <row r="87" spans="3:15">
      <c r="C87" s="857">
        <f t="shared" si="0"/>
        <v>10</v>
      </c>
      <c r="D87" s="789">
        <v>2005</v>
      </c>
      <c r="E87" s="793">
        <v>1</v>
      </c>
      <c r="F87" s="1369">
        <f t="shared" si="1"/>
        <v>1</v>
      </c>
      <c r="G87" s="1361"/>
      <c r="H87" s="791"/>
      <c r="I87" s="791"/>
      <c r="J87" s="1315"/>
      <c r="K87" s="1366"/>
      <c r="L87" s="1366"/>
      <c r="M87" s="1366"/>
      <c r="N87" s="1366"/>
      <c r="O87" s="1366"/>
    </row>
    <row r="88" spans="3:15">
      <c r="C88" s="857">
        <f t="shared" si="0"/>
        <v>11</v>
      </c>
      <c r="D88" s="789">
        <v>2006</v>
      </c>
      <c r="E88" s="793">
        <v>1</v>
      </c>
      <c r="F88" s="1369">
        <f t="shared" si="1"/>
        <v>2</v>
      </c>
      <c r="G88" s="1361"/>
      <c r="H88" s="791"/>
      <c r="I88" s="791"/>
      <c r="J88" s="1315"/>
      <c r="K88" s="1715" t="s">
        <v>1641</v>
      </c>
      <c r="L88" s="1715"/>
      <c r="M88" s="1715"/>
      <c r="N88" s="1715"/>
      <c r="O88" s="1715"/>
    </row>
    <row r="89" spans="3:15">
      <c r="C89" s="857">
        <f t="shared" si="0"/>
        <v>12</v>
      </c>
      <c r="D89" s="789">
        <v>2007</v>
      </c>
      <c r="E89" s="793">
        <v>1</v>
      </c>
      <c r="F89" s="1369">
        <f t="shared" si="1"/>
        <v>3</v>
      </c>
      <c r="G89" s="1361"/>
      <c r="H89" s="791"/>
      <c r="I89" s="791"/>
      <c r="J89" s="1315"/>
      <c r="K89" s="1715"/>
      <c r="L89" s="1715"/>
      <c r="M89" s="1715"/>
      <c r="N89" s="1715"/>
      <c r="O89" s="1715"/>
    </row>
    <row r="90" spans="3:15">
      <c r="C90" s="857">
        <f t="shared" si="0"/>
        <v>13</v>
      </c>
      <c r="D90" s="789">
        <v>2008</v>
      </c>
      <c r="E90" s="793">
        <v>-1</v>
      </c>
      <c r="F90" s="1369">
        <f t="shared" si="1"/>
        <v>0</v>
      </c>
      <c r="G90" s="1361"/>
      <c r="H90" s="791"/>
      <c r="I90" s="791"/>
      <c r="J90" s="1315"/>
      <c r="K90" s="1715"/>
      <c r="L90" s="1715"/>
      <c r="M90" s="1715"/>
      <c r="N90" s="1715"/>
      <c r="O90" s="1715"/>
    </row>
    <row r="91" spans="3:15" ht="13" thickBot="1">
      <c r="C91" s="857">
        <f t="shared" si="0"/>
        <v>14</v>
      </c>
      <c r="D91" s="789">
        <v>2009</v>
      </c>
      <c r="E91" s="793">
        <v>1</v>
      </c>
      <c r="F91" s="1370">
        <f t="shared" si="1"/>
        <v>1</v>
      </c>
      <c r="G91" s="1361"/>
      <c r="H91" s="791"/>
      <c r="I91" s="791"/>
      <c r="J91" s="1315"/>
      <c r="K91" s="1715"/>
      <c r="L91" s="1715"/>
      <c r="M91" s="1715"/>
      <c r="N91" s="1715"/>
      <c r="O91" s="1715"/>
    </row>
    <row r="92" spans="3:15" ht="13" thickBot="1">
      <c r="C92" s="857">
        <f t="shared" si="0"/>
        <v>15</v>
      </c>
      <c r="D92" s="791"/>
      <c r="E92" s="791"/>
      <c r="F92" s="963"/>
      <c r="G92" s="791"/>
      <c r="H92" s="958"/>
      <c r="I92" s="791"/>
      <c r="J92" s="1315"/>
      <c r="K92" s="1715"/>
      <c r="L92" s="1715"/>
      <c r="M92" s="1715"/>
      <c r="N92" s="1715"/>
      <c r="O92" s="1715"/>
    </row>
    <row r="93" spans="3:15" ht="13.5" thickBot="1">
      <c r="C93" s="857">
        <f t="shared" si="0"/>
        <v>16</v>
      </c>
      <c r="D93" s="946" t="s">
        <v>1628</v>
      </c>
      <c r="E93" s="791"/>
      <c r="F93" s="791"/>
      <c r="G93" s="1018"/>
      <c r="H93" s="1009">
        <v>3</v>
      </c>
      <c r="I93" s="809"/>
      <c r="J93" s="1315"/>
      <c r="K93" s="1715" t="s">
        <v>134</v>
      </c>
      <c r="L93" s="1715"/>
      <c r="M93" s="1715"/>
      <c r="N93" s="1715"/>
      <c r="O93" s="1715"/>
    </row>
    <row r="94" spans="3:15">
      <c r="C94" s="857">
        <f t="shared" si="0"/>
        <v>17</v>
      </c>
      <c r="D94" s="791"/>
      <c r="E94" s="791"/>
      <c r="F94" s="791"/>
      <c r="G94" s="791"/>
      <c r="H94" s="963"/>
      <c r="I94" s="791"/>
      <c r="J94" s="1315"/>
      <c r="K94" s="1715"/>
      <c r="L94" s="1715"/>
      <c r="M94" s="1715"/>
      <c r="N94" s="1715"/>
      <c r="O94" s="1715"/>
    </row>
    <row r="95" spans="3:15" ht="13">
      <c r="C95" s="857">
        <f t="shared" si="0"/>
        <v>18</v>
      </c>
      <c r="D95" s="946" t="str">
        <f>"First year in which growth was positive for " &amp; H93 &amp; " years"</f>
        <v>First year in which growth was positive for 3 years</v>
      </c>
      <c r="E95" s="791"/>
      <c r="F95" s="791"/>
      <c r="G95" s="791"/>
      <c r="H95" s="791"/>
      <c r="I95" s="791"/>
      <c r="J95" s="1315"/>
      <c r="K95" s="1715"/>
      <c r="L95" s="1715"/>
      <c r="M95" s="1715"/>
      <c r="N95" s="1715"/>
      <c r="O95" s="1715"/>
    </row>
    <row r="96" spans="3:15">
      <c r="C96" s="857">
        <f t="shared" si="0"/>
        <v>19</v>
      </c>
      <c r="D96" s="796">
        <f>D80-1 +MATCH(H93,F80:F91,0)</f>
        <v>2007</v>
      </c>
      <c r="E96" s="900" t="s">
        <v>1638</v>
      </c>
      <c r="F96" s="791"/>
      <c r="G96" s="791"/>
      <c r="H96" s="791"/>
      <c r="I96" s="791"/>
      <c r="J96" s="1315"/>
      <c r="K96" s="1715"/>
      <c r="L96" s="1715"/>
      <c r="M96" s="1715"/>
      <c r="N96" s="1715"/>
      <c r="O96" s="1715"/>
    </row>
    <row r="97" spans="3:15">
      <c r="C97" s="857">
        <f t="shared" si="0"/>
        <v>20</v>
      </c>
      <c r="D97" s="791"/>
      <c r="E97" s="791"/>
      <c r="F97" s="791"/>
      <c r="G97" s="791"/>
      <c r="H97" s="791"/>
      <c r="I97" s="791"/>
      <c r="J97" s="1315"/>
      <c r="K97" s="1715"/>
      <c r="L97" s="1715"/>
      <c r="M97" s="1715"/>
      <c r="N97" s="1715"/>
      <c r="O97" s="1715"/>
    </row>
    <row r="98" spans="3:15"/>
    <row r="99" spans="3:15">
      <c r="C99" s="1697" t="str">
        <f>back_to_index</f>
        <v>Back to contents</v>
      </c>
      <c r="D99" s="1697"/>
      <c r="G99" s="1530" t="str">
        <f>page_prefix &amp; page_fn_MATCH&amp; page_suffix</f>
        <v>- Page 32 -</v>
      </c>
      <c r="H99" s="1530"/>
      <c r="I99" s="1530"/>
      <c r="J99" s="1481"/>
      <c r="K99" s="1481"/>
      <c r="N99" s="1640" t="str">
        <f>back_to_top</f>
        <v>Back to top</v>
      </c>
      <c r="O99" s="1640"/>
    </row>
    <row r="100" spans="3:15">
      <c r="G100" s="1530" t="str">
        <f>copyright</f>
        <v>Copyright (c) 2009 Tykoh Group Pty Limited</v>
      </c>
      <c r="H100" s="1530"/>
      <c r="I100" s="1530"/>
      <c r="J100" s="1481"/>
      <c r="K100" s="1481"/>
    </row>
    <row r="101" spans="3:15">
      <c r="G101" s="1452" t="str">
        <f>home_address</f>
        <v>www.tykoh.com</v>
      </c>
      <c r="H101" s="1452"/>
      <c r="I101" s="1452"/>
      <c r="J101" s="1452"/>
      <c r="K101" s="1452"/>
      <c r="M101" s="773"/>
    </row>
    <row r="102" spans="3:15"/>
  </sheetData>
  <sheetProtection algorithmName="SHA-512" hashValue="GssA+WInU5taEhyMB113vPUcvLUOZnLD9zbwaByKQZbTDltEceJ0eiQowU8BUJx0gH0TRg8b3JXuQ66uYBQGrw==" saltValue="gp35V98spS+yizzuS3agHw==" spinCount="100000" sheet="1" objects="1" scenarios="1"/>
  <mergeCells count="27">
    <mergeCell ref="K77:O80"/>
    <mergeCell ref="K82:O86"/>
    <mergeCell ref="K88:O92"/>
    <mergeCell ref="K93:O97"/>
    <mergeCell ref="M4:O8"/>
    <mergeCell ref="C5:K6"/>
    <mergeCell ref="C8:K10"/>
    <mergeCell ref="C12:O16"/>
    <mergeCell ref="C19:O19"/>
    <mergeCell ref="C21:O21"/>
    <mergeCell ref="C23:O24"/>
    <mergeCell ref="D78:E78"/>
    <mergeCell ref="G101:K101"/>
    <mergeCell ref="C99:D99"/>
    <mergeCell ref="G99:K99"/>
    <mergeCell ref="N99:O99"/>
    <mergeCell ref="G100:K100"/>
    <mergeCell ref="M26:O30"/>
    <mergeCell ref="M49:O53"/>
    <mergeCell ref="M65:O69"/>
    <mergeCell ref="C59:O61"/>
    <mergeCell ref="C62:O63"/>
    <mergeCell ref="C73:O76"/>
    <mergeCell ref="C36:O37"/>
    <mergeCell ref="C39:O40"/>
    <mergeCell ref="C42:O44"/>
    <mergeCell ref="C46:O48"/>
  </mergeCells>
  <phoneticPr fontId="2" type="noConversion"/>
  <dataValidations count="1">
    <dataValidation type="list" allowBlank="1" showInputMessage="1" showErrorMessage="1" sqref="H93" xr:uid="{00000000-0002-0000-2C00-000000000000}">
      <formula1>"1,2,3"</formula1>
    </dataValidation>
  </dataValidations>
  <hyperlinks>
    <hyperlink ref="N99:O99" location="hh_fn_MATCH" display="hh_fn_MATCH" xr:uid="{00000000-0004-0000-2C00-000000000000}"/>
    <hyperlink ref="C99:D99" location="hh_index" display="hh_index" xr:uid="{00000000-0004-0000-2C00-000001000000}"/>
    <hyperlink ref="G101:K101" r:id="rId1" display="https://www.tykoh.com/" xr:uid="{00000000-0004-0000-2C00-000002000000}"/>
  </hyperlinks>
  <pageMargins left="0.75" right="0.75" top="1" bottom="1" header="0.5" footer="0.5"/>
  <pageSetup scale="74" fitToHeight="2" orientation="portrait" r:id="rId2"/>
  <headerFooter alignWithMargins="0"/>
  <rowBreaks count="1" manualBreakCount="1">
    <brk id="57" max="15" man="1"/>
  </rowBreaks>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8">
    <pageSetUpPr fitToPage="1"/>
  </sheetPr>
  <dimension ref="C1:O80"/>
  <sheetViews>
    <sheetView showGridLines="0" showRowColHeaders="0" topLeftCell="A58" workbookViewId="0">
      <selection activeCell="G79" sqref="G79:K79"/>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1252</v>
      </c>
    </row>
    <row r="4" spans="3:15" ht="13" thickTop="1">
      <c r="M4" s="1521" t="str">
        <f ca="1">OFFSET(ad_first,OFFSET(ads_top,ROW(ads_fn_MAX)-1,1),0)</f>
        <v>Feedback from our Financial Modelling course: "The DVD will be very helpful!"</v>
      </c>
      <c r="N4" s="1507"/>
      <c r="O4" s="1508"/>
    </row>
    <row r="5" spans="3:15">
      <c r="C5" s="1585" t="s">
        <v>310</v>
      </c>
      <c r="D5" s="1585"/>
      <c r="E5" s="1585"/>
      <c r="F5" s="1585"/>
      <c r="G5" s="1585"/>
      <c r="H5" s="1585"/>
      <c r="I5" s="1585"/>
      <c r="J5" s="1585"/>
      <c r="K5" s="1585"/>
      <c r="L5" s="1568"/>
      <c r="M5" s="1509"/>
      <c r="N5" s="1510"/>
      <c r="O5" s="1511"/>
    </row>
    <row r="6" spans="3:15">
      <c r="C6" s="1585"/>
      <c r="D6" s="1585"/>
      <c r="E6" s="1585"/>
      <c r="F6" s="1585"/>
      <c r="G6" s="1585"/>
      <c r="H6" s="1585"/>
      <c r="I6" s="1585"/>
      <c r="J6" s="1585"/>
      <c r="K6" s="1585"/>
      <c r="L6" s="1568"/>
      <c r="M6" s="1509"/>
      <c r="N6" s="1510"/>
      <c r="O6" s="1511"/>
    </row>
    <row r="7" spans="3:15">
      <c r="M7" s="1509"/>
      <c r="N7" s="1510"/>
      <c r="O7" s="1511"/>
    </row>
    <row r="8" spans="3:15" ht="13" thickBot="1">
      <c r="C8" s="1585" t="s">
        <v>309</v>
      </c>
      <c r="D8" s="1585"/>
      <c r="E8" s="1585"/>
      <c r="F8" s="1585"/>
      <c r="G8" s="1585"/>
      <c r="H8" s="1585"/>
      <c r="I8" s="1585"/>
      <c r="J8" s="1585"/>
      <c r="K8" s="1585"/>
      <c r="L8" s="1585"/>
      <c r="M8" s="1512"/>
      <c r="N8" s="1513"/>
      <c r="O8" s="1514"/>
    </row>
    <row r="9" spans="3:15" ht="13" thickTop="1"/>
    <row r="10" spans="3:15">
      <c r="C10" s="1585" t="s">
        <v>311</v>
      </c>
      <c r="D10" s="1585"/>
      <c r="E10" s="1585"/>
      <c r="F10" s="1585"/>
      <c r="G10" s="1585"/>
      <c r="H10" s="1585"/>
      <c r="I10" s="1585"/>
      <c r="J10" s="1585"/>
      <c r="K10" s="1585"/>
      <c r="L10" s="1585"/>
      <c r="M10" s="1585"/>
      <c r="N10" s="1585"/>
      <c r="O10" s="1585"/>
    </row>
    <row r="11" spans="3:15">
      <c r="C11" s="1585"/>
      <c r="D11" s="1585"/>
      <c r="E11" s="1585"/>
      <c r="F11" s="1585"/>
      <c r="G11" s="1585"/>
      <c r="H11" s="1585"/>
      <c r="I11" s="1585"/>
      <c r="J11" s="1585"/>
      <c r="K11" s="1585"/>
      <c r="L11" s="1585"/>
      <c r="M11" s="1585"/>
      <c r="N11" s="1585"/>
      <c r="O11" s="1585"/>
    </row>
    <row r="12" spans="3:15"/>
    <row r="13" spans="3:15">
      <c r="C13" s="857"/>
      <c r="D13" s="857" t="s">
        <v>1363</v>
      </c>
      <c r="E13" s="857" t="s">
        <v>1364</v>
      </c>
      <c r="F13" s="857" t="s">
        <v>1473</v>
      </c>
      <c r="G13" s="857" t="s">
        <v>1474</v>
      </c>
      <c r="H13" s="857" t="s">
        <v>1475</v>
      </c>
      <c r="I13" s="857" t="s">
        <v>1476</v>
      </c>
      <c r="J13" s="857" t="s">
        <v>497</v>
      </c>
      <c r="K13" s="857" t="s">
        <v>1511</v>
      </c>
    </row>
    <row r="14" spans="3:15" ht="13" thickBot="1">
      <c r="C14" s="857">
        <v>1</v>
      </c>
      <c r="D14" s="958"/>
      <c r="E14" s="958"/>
      <c r="F14" s="791"/>
      <c r="G14" s="791"/>
      <c r="H14" s="791"/>
      <c r="I14" s="791"/>
      <c r="J14" s="791"/>
      <c r="K14" s="791"/>
    </row>
    <row r="15" spans="3:15" ht="13" thickBot="1">
      <c r="C15" s="949">
        <v>2</v>
      </c>
      <c r="D15" s="1020" t="s">
        <v>135</v>
      </c>
      <c r="E15" s="1021">
        <v>-2</v>
      </c>
      <c r="F15" s="809"/>
      <c r="G15" s="791"/>
      <c r="H15" s="791">
        <f>MAX(D15:E15,D17:F17)</f>
        <v>17</v>
      </c>
      <c r="I15" s="900" t="s">
        <v>136</v>
      </c>
      <c r="J15" s="791"/>
      <c r="K15" s="791"/>
    </row>
    <row r="16" spans="3:15" ht="13" thickBot="1">
      <c r="C16" s="857">
        <v>3</v>
      </c>
      <c r="D16" s="957"/>
      <c r="E16" s="957"/>
      <c r="F16" s="958"/>
      <c r="G16" s="791"/>
      <c r="H16" s="791"/>
      <c r="I16" s="791"/>
      <c r="J16" s="791"/>
      <c r="K16" s="791"/>
    </row>
    <row r="17" spans="3:15" ht="13" thickBot="1">
      <c r="C17" s="949">
        <v>4</v>
      </c>
      <c r="D17" s="1015">
        <v>5</v>
      </c>
      <c r="E17" s="1367">
        <v>17</v>
      </c>
      <c r="F17" s="1022">
        <v>12</v>
      </c>
      <c r="G17" s="809"/>
      <c r="H17" s="791">
        <f>MIN(D15:E15,D17:F17)</f>
        <v>-2</v>
      </c>
      <c r="I17" s="900" t="s">
        <v>1258</v>
      </c>
      <c r="J17" s="791"/>
      <c r="K17" s="791"/>
    </row>
    <row r="18" spans="3:15">
      <c r="C18" s="857">
        <v>5</v>
      </c>
      <c r="D18" s="963"/>
      <c r="E18" s="963"/>
      <c r="F18" s="963"/>
      <c r="G18" s="791"/>
      <c r="H18" s="791"/>
      <c r="I18" s="791"/>
      <c r="J18" s="791"/>
      <c r="K18" s="791"/>
    </row>
    <row r="19" spans="3:15">
      <c r="C19" s="857">
        <v>6</v>
      </c>
      <c r="D19" s="791"/>
      <c r="E19" s="791"/>
      <c r="F19" s="791"/>
      <c r="G19" s="791"/>
      <c r="H19" s="791"/>
      <c r="I19" s="791"/>
      <c r="J19" s="791"/>
      <c r="K19" s="791"/>
    </row>
    <row r="20" spans="3:15">
      <c r="C20" s="328"/>
      <c r="D20" s="1315"/>
      <c r="E20" s="1315"/>
      <c r="F20" s="1315"/>
      <c r="G20" s="1315"/>
      <c r="H20" s="1315"/>
      <c r="I20" s="1315"/>
      <c r="J20" s="1315"/>
      <c r="K20" s="1315"/>
    </row>
    <row r="21" spans="3:15">
      <c r="C21" s="1714" t="s">
        <v>312</v>
      </c>
      <c r="D21" s="1516"/>
      <c r="E21" s="1516"/>
      <c r="F21" s="1516"/>
      <c r="G21" s="1516"/>
      <c r="H21" s="1516"/>
      <c r="I21" s="1516"/>
      <c r="J21" s="1516"/>
      <c r="K21" s="1516"/>
      <c r="L21" s="1516"/>
      <c r="M21" s="1516"/>
      <c r="N21" s="1516"/>
      <c r="O21" s="1516"/>
    </row>
    <row r="22" spans="3:15">
      <c r="C22" s="1516"/>
      <c r="D22" s="1516"/>
      <c r="E22" s="1516"/>
      <c r="F22" s="1516"/>
      <c r="G22" s="1516"/>
      <c r="H22" s="1516"/>
      <c r="I22" s="1516"/>
      <c r="J22" s="1516"/>
      <c r="K22" s="1516"/>
      <c r="L22" s="1516"/>
      <c r="M22" s="1516"/>
      <c r="N22" s="1516"/>
      <c r="O22" s="1516"/>
    </row>
    <row r="23" spans="3:15">
      <c r="C23" s="1516"/>
      <c r="D23" s="1516"/>
      <c r="E23" s="1516"/>
      <c r="F23" s="1516"/>
      <c r="G23" s="1516"/>
      <c r="H23" s="1516"/>
      <c r="I23" s="1516"/>
      <c r="J23" s="1516"/>
      <c r="K23" s="1516"/>
      <c r="L23" s="1516"/>
      <c r="M23" s="1516"/>
      <c r="N23" s="1516"/>
      <c r="O23" s="1516"/>
    </row>
    <row r="24" spans="3:15">
      <c r="C24" s="328"/>
      <c r="D24" s="1315"/>
      <c r="E24" s="1315"/>
      <c r="F24" s="1315"/>
      <c r="G24" s="1315"/>
      <c r="H24" s="1315"/>
      <c r="I24" s="1315"/>
      <c r="J24" s="1315"/>
      <c r="K24" s="1315"/>
    </row>
    <row r="25" spans="3:15">
      <c r="C25" s="1714" t="s">
        <v>313</v>
      </c>
      <c r="D25" s="1516"/>
      <c r="E25" s="1516"/>
      <c r="F25" s="1516"/>
      <c r="G25" s="1516"/>
      <c r="H25" s="1516"/>
      <c r="I25" s="1516"/>
      <c r="J25" s="1516"/>
      <c r="K25" s="1516"/>
      <c r="L25" s="1516"/>
      <c r="M25" s="1516"/>
      <c r="N25" s="1516"/>
      <c r="O25" s="1516"/>
    </row>
    <row r="26" spans="3:15">
      <c r="C26" s="1516"/>
      <c r="D26" s="1516"/>
      <c r="E26" s="1516"/>
      <c r="F26" s="1516"/>
      <c r="G26" s="1516"/>
      <c r="H26" s="1516"/>
      <c r="I26" s="1516"/>
      <c r="J26" s="1516"/>
      <c r="K26" s="1516"/>
      <c r="L26" s="1516"/>
      <c r="M26" s="1516"/>
      <c r="N26" s="1516"/>
      <c r="O26" s="1516"/>
    </row>
    <row r="27" spans="3:15" s="1026" customFormat="1">
      <c r="C27" s="1398"/>
      <c r="D27" s="1398"/>
      <c r="E27" s="1398"/>
      <c r="F27" s="1398"/>
      <c r="G27" s="1398"/>
      <c r="H27" s="1398"/>
      <c r="I27" s="1398"/>
      <c r="J27" s="1398"/>
      <c r="K27" s="1398"/>
    </row>
    <row r="28" spans="3:15" s="1026" customFormat="1">
      <c r="C28" s="1714" t="s">
        <v>314</v>
      </c>
      <c r="D28" s="1516"/>
      <c r="E28" s="1516"/>
      <c r="F28" s="1516"/>
      <c r="G28" s="1516"/>
      <c r="H28" s="1516"/>
      <c r="I28" s="1516"/>
      <c r="J28" s="1516"/>
      <c r="K28" s="1516"/>
      <c r="L28" s="1516"/>
      <c r="M28" s="1516"/>
      <c r="N28" s="1516"/>
      <c r="O28" s="1516"/>
    </row>
    <row r="29" spans="3:15" s="1026" customFormat="1">
      <c r="C29" s="1714"/>
      <c r="D29" s="1516"/>
      <c r="E29" s="1516"/>
      <c r="F29" s="1516"/>
      <c r="G29" s="1516"/>
      <c r="H29" s="1516"/>
      <c r="I29" s="1516"/>
      <c r="J29" s="1516"/>
      <c r="K29" s="1516"/>
      <c r="L29" s="1516"/>
      <c r="M29" s="1516"/>
      <c r="N29" s="1516"/>
      <c r="O29" s="1516"/>
    </row>
    <row r="30" spans="3:15" s="1026" customFormat="1">
      <c r="C30" s="1516"/>
      <c r="D30" s="1516"/>
      <c r="E30" s="1516"/>
      <c r="F30" s="1516"/>
      <c r="G30" s="1516"/>
      <c r="H30" s="1516"/>
      <c r="I30" s="1516"/>
      <c r="J30" s="1516"/>
      <c r="K30" s="1516"/>
      <c r="L30" s="1516"/>
      <c r="M30" s="1516"/>
      <c r="N30" s="1516"/>
      <c r="O30" s="1516"/>
    </row>
    <row r="31" spans="3:15" s="1026" customFormat="1" ht="13" thickBot="1"/>
    <row r="32" spans="3:15" ht="13" thickTop="1">
      <c r="C32" s="857"/>
      <c r="D32" s="857" t="s">
        <v>1363</v>
      </c>
      <c r="E32" s="857" t="s">
        <v>1364</v>
      </c>
      <c r="F32" s="857" t="s">
        <v>1473</v>
      </c>
      <c r="G32" s="857" t="s">
        <v>1474</v>
      </c>
      <c r="H32" s="857" t="s">
        <v>1475</v>
      </c>
      <c r="I32" s="857" t="s">
        <v>1476</v>
      </c>
      <c r="J32" s="857" t="s">
        <v>497</v>
      </c>
      <c r="K32" s="857" t="s">
        <v>1511</v>
      </c>
      <c r="M32" s="1545" t="str">
        <f ca="1">OFFSET(ad_first,OFFSET(ads_top,ROW(ads_fn_MAX)-1,2),0)</f>
        <v>Feedback from our Financial Modelling course: "Lots of practical examples used in the workshop"</v>
      </c>
      <c r="N32" s="1689"/>
      <c r="O32" s="1690"/>
    </row>
    <row r="33" spans="3:15" ht="13" thickBot="1">
      <c r="C33" s="857">
        <v>1</v>
      </c>
      <c r="D33" s="1719" t="s">
        <v>1254</v>
      </c>
      <c r="E33" s="1720"/>
      <c r="F33" s="1136" t="s">
        <v>1248</v>
      </c>
      <c r="G33" s="1136" t="s">
        <v>1249</v>
      </c>
      <c r="H33" s="1136" t="s">
        <v>1250</v>
      </c>
      <c r="I33" s="1113" t="s">
        <v>1251</v>
      </c>
      <c r="J33" s="791"/>
      <c r="K33" s="791"/>
      <c r="M33" s="1691"/>
      <c r="N33" s="1692"/>
      <c r="O33" s="1693"/>
    </row>
    <row r="34" spans="3:15" ht="13" thickBot="1">
      <c r="C34" s="857">
        <v>2</v>
      </c>
      <c r="D34" s="1709" t="s">
        <v>316</v>
      </c>
      <c r="E34" s="1718"/>
      <c r="F34" s="791">
        <v>36</v>
      </c>
      <c r="G34" s="791">
        <v>37</v>
      </c>
      <c r="H34" s="1018">
        <v>43</v>
      </c>
      <c r="I34" s="1019">
        <v>18</v>
      </c>
      <c r="J34" s="809"/>
      <c r="K34" s="791"/>
      <c r="M34" s="1691"/>
      <c r="N34" s="1692"/>
      <c r="O34" s="1693"/>
    </row>
    <row r="35" spans="3:15" ht="13" thickBot="1">
      <c r="C35" s="857">
        <f t="shared" ref="C35:C40" si="0">C34+1</f>
        <v>3</v>
      </c>
      <c r="D35" s="808"/>
      <c r="E35" s="868"/>
      <c r="F35" s="791"/>
      <c r="G35" s="791"/>
      <c r="H35" s="791"/>
      <c r="I35" s="957"/>
      <c r="J35" s="791"/>
      <c r="K35" s="791"/>
      <c r="M35" s="1691"/>
      <c r="N35" s="1692"/>
      <c r="O35" s="1693"/>
    </row>
    <row r="36" spans="3:15" ht="13" thickBot="1">
      <c r="C36" s="857">
        <f t="shared" si="0"/>
        <v>4</v>
      </c>
      <c r="D36" s="1709" t="s">
        <v>1255</v>
      </c>
      <c r="E36" s="1718"/>
      <c r="F36" s="791">
        <v>35</v>
      </c>
      <c r="G36" s="791">
        <v>33</v>
      </c>
      <c r="H36" s="1018">
        <v>46</v>
      </c>
      <c r="I36" s="1016">
        <v>19</v>
      </c>
      <c r="J36" s="809"/>
      <c r="K36" s="791"/>
      <c r="M36" s="1694"/>
      <c r="N36" s="1695"/>
      <c r="O36" s="1696"/>
    </row>
    <row r="37" spans="3:15" ht="13" thickBot="1">
      <c r="C37" s="857">
        <f t="shared" si="0"/>
        <v>5</v>
      </c>
      <c r="D37" s="791"/>
      <c r="E37" s="791"/>
      <c r="F37" s="958"/>
      <c r="G37" s="958"/>
      <c r="H37" s="958"/>
      <c r="I37" s="957"/>
      <c r="J37" s="791"/>
      <c r="K37" s="791"/>
    </row>
    <row r="38" spans="3:15" ht="13" thickBot="1">
      <c r="C38" s="857">
        <f t="shared" si="0"/>
        <v>6</v>
      </c>
      <c r="D38" s="1709" t="s">
        <v>1253</v>
      </c>
      <c r="E38" s="1721"/>
      <c r="F38" s="1048">
        <f>F34-F36</f>
        <v>1</v>
      </c>
      <c r="G38" s="1054">
        <f>G34-G36</f>
        <v>4</v>
      </c>
      <c r="H38" s="1054">
        <f>H34-H36</f>
        <v>-3</v>
      </c>
      <c r="I38" s="1068">
        <f>I34-I36</f>
        <v>-1</v>
      </c>
      <c r="J38" s="1027" t="s">
        <v>1257</v>
      </c>
      <c r="K38" s="791"/>
    </row>
    <row r="39" spans="3:15">
      <c r="C39" s="857">
        <f t="shared" si="0"/>
        <v>7</v>
      </c>
      <c r="D39" s="791"/>
      <c r="E39" s="791"/>
      <c r="F39" s="963"/>
      <c r="G39" s="963"/>
      <c r="H39" s="963"/>
      <c r="I39" s="963"/>
      <c r="J39" s="791"/>
      <c r="K39" s="791"/>
    </row>
    <row r="40" spans="3:15">
      <c r="C40" s="857">
        <f t="shared" si="0"/>
        <v>8</v>
      </c>
      <c r="D40" s="791" t="s">
        <v>315</v>
      </c>
      <c r="E40" s="791"/>
      <c r="F40" s="791"/>
      <c r="G40" s="791">
        <f>MAX(F38:I38)</f>
        <v>4</v>
      </c>
      <c r="H40" s="900" t="s">
        <v>1256</v>
      </c>
      <c r="I40" s="791"/>
      <c r="J40" s="791"/>
      <c r="K40" s="791"/>
    </row>
    <row r="41" spans="3:15"/>
    <row r="42" spans="3:15">
      <c r="C42" s="1585" t="s">
        <v>278</v>
      </c>
      <c r="D42" s="1585"/>
      <c r="E42" s="1585"/>
      <c r="F42" s="1585"/>
      <c r="G42" s="1585"/>
      <c r="H42" s="1585"/>
      <c r="I42" s="1585"/>
      <c r="J42" s="1585"/>
      <c r="K42" s="1585"/>
      <c r="L42" s="1585"/>
      <c r="M42" s="1585"/>
      <c r="N42" s="1585"/>
      <c r="O42" s="1585"/>
    </row>
    <row r="43" spans="3:15">
      <c r="C43" s="1585"/>
      <c r="D43" s="1585"/>
      <c r="E43" s="1585"/>
      <c r="F43" s="1585"/>
      <c r="G43" s="1585"/>
      <c r="H43" s="1585"/>
      <c r="I43" s="1585"/>
      <c r="J43" s="1585"/>
      <c r="K43" s="1585"/>
      <c r="L43" s="1585"/>
      <c r="M43" s="1585"/>
      <c r="N43" s="1585"/>
      <c r="O43" s="1585"/>
    </row>
    <row r="44" spans="3:15">
      <c r="C44" s="1585"/>
      <c r="D44" s="1585"/>
      <c r="E44" s="1585"/>
      <c r="F44" s="1585"/>
      <c r="G44" s="1585"/>
      <c r="H44" s="1585"/>
      <c r="I44" s="1585"/>
      <c r="J44" s="1585"/>
      <c r="K44" s="1585"/>
      <c r="L44" s="1585"/>
      <c r="M44" s="1585"/>
      <c r="N44" s="1585"/>
      <c r="O44" s="1585"/>
    </row>
    <row r="45" spans="3:15"/>
    <row r="46" spans="3:15">
      <c r="C46" s="1585" t="s">
        <v>317</v>
      </c>
      <c r="D46" s="1585"/>
      <c r="E46" s="1585"/>
      <c r="F46" s="1585"/>
      <c r="G46" s="1585"/>
      <c r="H46" s="1585"/>
      <c r="I46" s="1585"/>
      <c r="J46" s="1585"/>
      <c r="K46" s="1585"/>
      <c r="L46" s="1585"/>
      <c r="M46" s="1585"/>
      <c r="N46" s="1585"/>
      <c r="O46" s="1585"/>
    </row>
    <row r="47" spans="3:15">
      <c r="C47" s="1518"/>
      <c r="D47" s="1518"/>
      <c r="E47" s="1518"/>
      <c r="F47" s="1518"/>
      <c r="G47" s="1518"/>
      <c r="H47" s="1518"/>
      <c r="I47" s="1518"/>
      <c r="J47" s="1518"/>
      <c r="K47" s="1518"/>
      <c r="L47" s="1518"/>
      <c r="M47" s="1518"/>
      <c r="N47" s="1518"/>
      <c r="O47" s="1518"/>
    </row>
    <row r="48" spans="3:15"/>
    <row r="49" spans="3:15">
      <c r="C49" s="857"/>
      <c r="D49" s="857" t="s">
        <v>1363</v>
      </c>
      <c r="E49" s="857" t="s">
        <v>1364</v>
      </c>
      <c r="F49" s="857" t="s">
        <v>1473</v>
      </c>
      <c r="G49" s="857" t="s">
        <v>1474</v>
      </c>
      <c r="H49" s="857" t="s">
        <v>1475</v>
      </c>
      <c r="I49" s="857" t="s">
        <v>1476</v>
      </c>
      <c r="J49" s="857" t="s">
        <v>497</v>
      </c>
      <c r="K49" s="857" t="s">
        <v>1511</v>
      </c>
    </row>
    <row r="50" spans="3:15" ht="13" thickBot="1">
      <c r="C50" s="857">
        <v>1</v>
      </c>
      <c r="D50" s="1719" t="s">
        <v>1254</v>
      </c>
      <c r="E50" s="1720"/>
      <c r="F50" s="1136" t="s">
        <v>1248</v>
      </c>
      <c r="G50" s="1136" t="s">
        <v>1249</v>
      </c>
      <c r="H50" s="1136" t="s">
        <v>1250</v>
      </c>
      <c r="I50" s="1113" t="s">
        <v>1251</v>
      </c>
      <c r="J50" s="791"/>
      <c r="K50" s="791"/>
    </row>
    <row r="51" spans="3:15" ht="13" thickBot="1">
      <c r="C51" s="857">
        <v>2</v>
      </c>
      <c r="D51" s="1709" t="s">
        <v>316</v>
      </c>
      <c r="E51" s="1718"/>
      <c r="F51" s="791">
        <v>34</v>
      </c>
      <c r="G51" s="791">
        <v>32</v>
      </c>
      <c r="H51" s="1018">
        <v>43</v>
      </c>
      <c r="I51" s="1019">
        <v>18</v>
      </c>
      <c r="J51" s="809"/>
      <c r="K51" s="791"/>
    </row>
    <row r="52" spans="3:15" ht="13" thickBot="1">
      <c r="C52" s="857">
        <v>3</v>
      </c>
      <c r="D52" s="808"/>
      <c r="E52" s="868"/>
      <c r="F52" s="791"/>
      <c r="G52" s="791"/>
      <c r="H52" s="791"/>
      <c r="I52" s="957"/>
      <c r="J52" s="791"/>
      <c r="K52" s="791"/>
    </row>
    <row r="53" spans="3:15" ht="13" thickBot="1">
      <c r="C53" s="857">
        <v>4</v>
      </c>
      <c r="D53" s="1709" t="s">
        <v>1255</v>
      </c>
      <c r="E53" s="1718"/>
      <c r="F53" s="791">
        <v>35</v>
      </c>
      <c r="G53" s="791">
        <v>33</v>
      </c>
      <c r="H53" s="1018">
        <v>46</v>
      </c>
      <c r="I53" s="1016">
        <v>19</v>
      </c>
      <c r="J53" s="809"/>
      <c r="K53" s="791"/>
    </row>
    <row r="54" spans="3:15" ht="13" thickBot="1">
      <c r="C54" s="857">
        <v>5</v>
      </c>
      <c r="D54" s="791"/>
      <c r="E54" s="791"/>
      <c r="F54" s="958"/>
      <c r="G54" s="958"/>
      <c r="H54" s="958"/>
      <c r="I54" s="957"/>
      <c r="J54" s="791"/>
      <c r="K54" s="791"/>
    </row>
    <row r="55" spans="3:15" ht="13" thickBot="1">
      <c r="C55" s="857">
        <v>6</v>
      </c>
      <c r="D55" s="1709" t="s">
        <v>1253</v>
      </c>
      <c r="E55" s="1721"/>
      <c r="F55" s="1048">
        <f>F51-F53</f>
        <v>-1</v>
      </c>
      <c r="G55" s="1054">
        <f>G51-G53</f>
        <v>-1</v>
      </c>
      <c r="H55" s="1054">
        <f>H51-H53</f>
        <v>-3</v>
      </c>
      <c r="I55" s="1068">
        <f>I51-I53</f>
        <v>-1</v>
      </c>
      <c r="J55" s="1027" t="s">
        <v>1257</v>
      </c>
      <c r="K55" s="791"/>
    </row>
    <row r="56" spans="3:15">
      <c r="C56" s="857">
        <v>7</v>
      </c>
      <c r="D56" s="791"/>
      <c r="E56" s="791"/>
      <c r="F56" s="963"/>
      <c r="G56" s="963"/>
      <c r="H56" s="963"/>
      <c r="I56" s="963"/>
      <c r="J56" s="791"/>
      <c r="K56" s="791"/>
    </row>
    <row r="57" spans="3:15">
      <c r="C57" s="857">
        <v>8</v>
      </c>
      <c r="D57" s="791" t="s">
        <v>315</v>
      </c>
      <c r="E57" s="791"/>
      <c r="F57" s="791"/>
      <c r="G57" s="791">
        <f>MAX(F55:I55)</f>
        <v>-1</v>
      </c>
      <c r="H57" s="900" t="s">
        <v>1256</v>
      </c>
      <c r="I57" s="791"/>
      <c r="J57" s="791"/>
      <c r="K57" s="791"/>
    </row>
    <row r="58" spans="3:15"/>
    <row r="59" spans="3:15">
      <c r="C59" s="1585" t="s">
        <v>318</v>
      </c>
      <c r="D59" s="1585"/>
      <c r="E59" s="1585"/>
      <c r="F59" s="1585"/>
      <c r="G59" s="1585"/>
      <c r="H59" s="1585"/>
      <c r="I59" s="1585"/>
      <c r="J59" s="1585"/>
      <c r="K59" s="1585"/>
      <c r="L59" s="1585"/>
      <c r="M59" s="1585"/>
      <c r="N59" s="1585"/>
      <c r="O59" s="1585"/>
    </row>
    <row r="60" spans="3:15">
      <c r="C60" s="1585"/>
      <c r="D60" s="1585"/>
      <c r="E60" s="1585"/>
      <c r="F60" s="1585"/>
      <c r="G60" s="1585"/>
      <c r="H60" s="1585"/>
      <c r="I60" s="1585"/>
      <c r="J60" s="1585"/>
      <c r="K60" s="1585"/>
      <c r="L60" s="1585"/>
      <c r="M60" s="1585"/>
      <c r="N60" s="1585"/>
      <c r="O60" s="1585"/>
    </row>
    <row r="61" spans="3:15" ht="13" thickBot="1"/>
    <row r="62" spans="3:15" ht="13" thickTop="1">
      <c r="C62" s="857"/>
      <c r="D62" s="857" t="s">
        <v>1363</v>
      </c>
      <c r="E62" s="857" t="s">
        <v>1364</v>
      </c>
      <c r="F62" s="857" t="s">
        <v>1473</v>
      </c>
      <c r="G62" s="857" t="s">
        <v>1474</v>
      </c>
      <c r="H62" s="857" t="s">
        <v>1475</v>
      </c>
      <c r="I62" s="857" t="s">
        <v>1476</v>
      </c>
      <c r="J62" s="857" t="s">
        <v>497</v>
      </c>
      <c r="K62" s="857" t="s">
        <v>1511</v>
      </c>
      <c r="M62" s="1545" t="str">
        <f ca="1">OFFSET(ad_first,OFFSET(ads_top,ROW(ads_fn_MAX)-1,3),0)</f>
        <v>Our Visual Basic course shows how to increase the "wow-factor" of your developed applications</v>
      </c>
      <c r="N62" s="1689"/>
      <c r="O62" s="1690"/>
    </row>
    <row r="63" spans="3:15" ht="13" thickBot="1">
      <c r="C63" s="857">
        <v>1</v>
      </c>
      <c r="D63" s="1719" t="s">
        <v>1254</v>
      </c>
      <c r="E63" s="1720"/>
      <c r="F63" s="1136" t="s">
        <v>1248</v>
      </c>
      <c r="G63" s="1136" t="s">
        <v>1249</v>
      </c>
      <c r="H63" s="1136" t="s">
        <v>1250</v>
      </c>
      <c r="I63" s="1113" t="s">
        <v>1251</v>
      </c>
      <c r="J63" s="791"/>
      <c r="K63" s="791"/>
      <c r="M63" s="1691"/>
      <c r="N63" s="1692"/>
      <c r="O63" s="1693"/>
    </row>
    <row r="64" spans="3:15" ht="13" thickBot="1">
      <c r="C64" s="857">
        <v>2</v>
      </c>
      <c r="D64" s="1709" t="s">
        <v>316</v>
      </c>
      <c r="E64" s="1718"/>
      <c r="F64" s="791">
        <v>34</v>
      </c>
      <c r="G64" s="791">
        <v>32</v>
      </c>
      <c r="H64" s="1018">
        <v>43</v>
      </c>
      <c r="I64" s="1019">
        <v>18</v>
      </c>
      <c r="J64" s="809"/>
      <c r="K64" s="791"/>
      <c r="M64" s="1691"/>
      <c r="N64" s="1692"/>
      <c r="O64" s="1693"/>
    </row>
    <row r="65" spans="3:15" ht="13" thickBot="1">
      <c r="C65" s="857">
        <v>3</v>
      </c>
      <c r="D65" s="808"/>
      <c r="E65" s="868"/>
      <c r="F65" s="791"/>
      <c r="G65" s="791"/>
      <c r="H65" s="791"/>
      <c r="I65" s="957"/>
      <c r="J65" s="791"/>
      <c r="K65" s="791"/>
      <c r="M65" s="1691"/>
      <c r="N65" s="1692"/>
      <c r="O65" s="1693"/>
    </row>
    <row r="66" spans="3:15" ht="13" thickBot="1">
      <c r="C66" s="857">
        <v>4</v>
      </c>
      <c r="D66" s="1709" t="s">
        <v>1255</v>
      </c>
      <c r="E66" s="1718"/>
      <c r="F66" s="791">
        <v>35</v>
      </c>
      <c r="G66" s="791">
        <v>33</v>
      </c>
      <c r="H66" s="1018">
        <v>46</v>
      </c>
      <c r="I66" s="1016">
        <v>19</v>
      </c>
      <c r="J66" s="809"/>
      <c r="K66" s="791"/>
      <c r="M66" s="1694"/>
      <c r="N66" s="1695"/>
      <c r="O66" s="1696"/>
    </row>
    <row r="67" spans="3:15" ht="13" thickBot="1">
      <c r="C67" s="857">
        <v>5</v>
      </c>
      <c r="D67" s="791"/>
      <c r="E67" s="791"/>
      <c r="F67" s="958"/>
      <c r="G67" s="958"/>
      <c r="H67" s="958"/>
      <c r="I67" s="957"/>
      <c r="J67" s="791"/>
      <c r="K67" s="791"/>
    </row>
    <row r="68" spans="3:15" ht="13" thickBot="1">
      <c r="C68" s="857">
        <v>6</v>
      </c>
      <c r="D68" s="1709" t="s">
        <v>1253</v>
      </c>
      <c r="E68" s="1721"/>
      <c r="F68" s="1048">
        <f>F64-F66</f>
        <v>-1</v>
      </c>
      <c r="G68" s="1054">
        <f>G64-G66</f>
        <v>-1</v>
      </c>
      <c r="H68" s="1054">
        <f>H64-H66</f>
        <v>-3</v>
      </c>
      <c r="I68" s="1068">
        <f>I64-I66</f>
        <v>-1</v>
      </c>
      <c r="J68" s="1027" t="s">
        <v>1257</v>
      </c>
      <c r="K68" s="791"/>
    </row>
    <row r="69" spans="3:15">
      <c r="C69" s="857">
        <v>7</v>
      </c>
      <c r="D69" s="791"/>
      <c r="E69" s="791"/>
      <c r="F69" s="963"/>
      <c r="G69" s="963"/>
      <c r="H69" s="963"/>
      <c r="I69" s="963"/>
      <c r="J69" s="791"/>
      <c r="K69" s="791"/>
    </row>
    <row r="70" spans="3:15">
      <c r="C70" s="857">
        <v>8</v>
      </c>
      <c r="D70" s="791" t="s">
        <v>315</v>
      </c>
      <c r="E70" s="791"/>
      <c r="F70" s="791"/>
      <c r="G70" s="791">
        <f>MAX(MAX(F68:I68),0)</f>
        <v>0</v>
      </c>
      <c r="H70" s="900" t="s">
        <v>319</v>
      </c>
      <c r="I70" s="791"/>
      <c r="J70" s="791"/>
      <c r="K70" s="791"/>
    </row>
    <row r="71" spans="3:15"/>
    <row r="72" spans="3:15">
      <c r="C72" s="1585" t="s">
        <v>320</v>
      </c>
      <c r="D72" s="1585"/>
      <c r="E72" s="1585"/>
      <c r="F72" s="1585"/>
      <c r="G72" s="1585"/>
      <c r="H72" s="1585"/>
      <c r="I72" s="1585"/>
      <c r="J72" s="1585"/>
      <c r="K72" s="1585"/>
      <c r="L72" s="1585"/>
      <c r="M72" s="1585"/>
      <c r="N72" s="1585"/>
      <c r="O72" s="1585"/>
    </row>
    <row r="73" spans="3:15">
      <c r="C73" s="1585"/>
      <c r="D73" s="1585"/>
      <c r="E73" s="1585"/>
      <c r="F73" s="1585"/>
      <c r="G73" s="1585"/>
      <c r="H73" s="1585"/>
      <c r="I73" s="1585"/>
      <c r="J73" s="1585"/>
      <c r="K73" s="1585"/>
      <c r="L73" s="1585"/>
      <c r="M73" s="1585"/>
      <c r="N73" s="1585"/>
      <c r="O73" s="1585"/>
    </row>
    <row r="74" spans="3:15"/>
    <row r="75" spans="3:15">
      <c r="C75" s="1700" t="s">
        <v>329</v>
      </c>
      <c r="D75" s="1700"/>
      <c r="E75" s="1700"/>
      <c r="F75" s="1700"/>
      <c r="G75" s="1700"/>
      <c r="H75" s="1700"/>
      <c r="I75" s="1700"/>
      <c r="J75" s="1700"/>
    </row>
    <row r="76" spans="3:15"/>
    <row r="77" spans="3:15">
      <c r="C77" s="1697" t="str">
        <f>back_to_index</f>
        <v>Back to contents</v>
      </c>
      <c r="D77" s="1697"/>
      <c r="G77" s="1530" t="str">
        <f>page_prefix &amp; page_fn_MAX&amp; page_suffix</f>
        <v>- Page 33 -</v>
      </c>
      <c r="H77" s="1530"/>
      <c r="I77" s="1530"/>
      <c r="J77" s="1481"/>
      <c r="K77" s="1481"/>
      <c r="M77" s="773"/>
      <c r="N77" s="1640" t="str">
        <f>back_to_top</f>
        <v>Back to top</v>
      </c>
      <c r="O77" s="1640"/>
    </row>
    <row r="78" spans="3:15">
      <c r="G78" s="1530" t="str">
        <f>copyright</f>
        <v>Copyright (c) 2009 Tykoh Group Pty Limited</v>
      </c>
      <c r="H78" s="1530"/>
      <c r="I78" s="1530"/>
      <c r="J78" s="1481"/>
      <c r="K78" s="1481"/>
    </row>
    <row r="79" spans="3:15">
      <c r="G79" s="1452" t="str">
        <f>home_address</f>
        <v>www.tykoh.com</v>
      </c>
      <c r="H79" s="1452"/>
      <c r="I79" s="1452"/>
      <c r="J79" s="1452"/>
      <c r="K79" s="1452"/>
    </row>
    <row r="80" spans="3:15"/>
  </sheetData>
  <sheetProtection algorithmName="SHA-512" hashValue="zNeSM5wtZWstJG/PZ1MEyj38JA1uwHe/xMR+h5AauPmbDyaBYExoQDSu/inq02L+v3Rld6VPLl9Myh9insVFog==" saltValue="kuXrUm4vS05s4m6A0gwpUQ==" spinCount="100000" sheet="1" objects="1" scenarios="1"/>
  <mergeCells count="31">
    <mergeCell ref="C72:O73"/>
    <mergeCell ref="C75:J75"/>
    <mergeCell ref="M62:O66"/>
    <mergeCell ref="C25:O26"/>
    <mergeCell ref="C28:O30"/>
    <mergeCell ref="M32:O36"/>
    <mergeCell ref="C42:O44"/>
    <mergeCell ref="D38:E38"/>
    <mergeCell ref="D33:E33"/>
    <mergeCell ref="D34:E34"/>
    <mergeCell ref="G79:K79"/>
    <mergeCell ref="C77:D77"/>
    <mergeCell ref="G77:K77"/>
    <mergeCell ref="N77:O77"/>
    <mergeCell ref="G78:K78"/>
    <mergeCell ref="C5:L6"/>
    <mergeCell ref="C8:L8"/>
    <mergeCell ref="C10:O11"/>
    <mergeCell ref="C21:O23"/>
    <mergeCell ref="M4:O8"/>
    <mergeCell ref="D68:E68"/>
    <mergeCell ref="D55:E55"/>
    <mergeCell ref="D63:E63"/>
    <mergeCell ref="D64:E64"/>
    <mergeCell ref="D66:E66"/>
    <mergeCell ref="C59:O60"/>
    <mergeCell ref="D36:E36"/>
    <mergeCell ref="D50:E50"/>
    <mergeCell ref="D51:E51"/>
    <mergeCell ref="D53:E53"/>
    <mergeCell ref="C46:O47"/>
  </mergeCells>
  <phoneticPr fontId="2" type="noConversion"/>
  <hyperlinks>
    <hyperlink ref="C75:J75" location="hh_Combine_4" display="[For examples of the MAX and MIN functions working with other functions click here]" xr:uid="{00000000-0004-0000-2D00-000000000000}"/>
    <hyperlink ref="N77:O77" location="hh_fn_MAX" display="hh_fn_MAX" xr:uid="{00000000-0004-0000-2D00-000001000000}"/>
    <hyperlink ref="C77:D77" location="hh_index" display="hh_index" xr:uid="{00000000-0004-0000-2D00-000002000000}"/>
    <hyperlink ref="G79:K79" r:id="rId1" display="https://www.tykoh.com/" xr:uid="{00000000-0004-0000-2D00-000003000000}"/>
  </hyperlinks>
  <pageMargins left="0.75" right="0.75" top="1" bottom="1" header="0.5" footer="0.5"/>
  <pageSetup paperSize="9" scale="66" orientation="portrait" r:id="rId2"/>
  <headerFooter alignWithMargins="0"/>
  <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C1:P188"/>
  <sheetViews>
    <sheetView showGridLines="0" showRowColHeaders="0" topLeftCell="A175" zoomScaleNormal="100" workbookViewId="0">
      <selection activeCell="G187" sqref="G187:K187"/>
    </sheetView>
  </sheetViews>
  <sheetFormatPr defaultColWidth="0" defaultRowHeight="12.5" zeroHeight="1"/>
  <cols>
    <col min="1" max="2" width="1" style="22" customWidth="1"/>
    <col min="3" max="15" width="9.1796875" style="22" customWidth="1"/>
    <col min="16" max="16" width="1.81640625" style="22" customWidth="1"/>
    <col min="17" max="16384" width="0" style="22" hidden="1"/>
  </cols>
  <sheetData>
    <row r="1" spans="3:16"/>
    <row r="2" spans="3:16">
      <c r="C2" s="973"/>
      <c r="D2" s="973"/>
      <c r="E2" s="973"/>
      <c r="F2" s="973"/>
      <c r="G2" s="973"/>
      <c r="H2" s="973"/>
      <c r="I2" s="973"/>
      <c r="J2" s="973"/>
      <c r="K2" s="973"/>
      <c r="L2" s="973"/>
      <c r="M2" s="973"/>
      <c r="N2" s="973"/>
      <c r="O2" s="973"/>
    </row>
    <row r="3" spans="3:16" ht="16" thickBot="1">
      <c r="C3" s="845" t="s">
        <v>568</v>
      </c>
    </row>
    <row r="4" spans="3:16" ht="16" thickTop="1">
      <c r="C4" s="845"/>
      <c r="M4" s="1506" t="str">
        <f ca="1">OFFSET(ad_first,OFFSET(ads_top,ROW(ads_fn_OFFSET)-1,1),0)</f>
        <v>Feedback from our Financial Modelling course: "Understanding the complex Excel tips was very beneficial"</v>
      </c>
      <c r="N4" s="1507"/>
      <c r="O4" s="1508"/>
    </row>
    <row r="5" spans="3:16">
      <c r="C5" s="1543" t="s">
        <v>490</v>
      </c>
      <c r="D5" s="1518"/>
      <c r="E5" s="1518"/>
      <c r="F5" s="1518"/>
      <c r="G5" s="1518"/>
      <c r="H5" s="1518"/>
      <c r="I5" s="1518"/>
      <c r="J5" s="1518"/>
      <c r="K5" s="1518"/>
      <c r="L5" s="1518"/>
      <c r="M5" s="1509"/>
      <c r="N5" s="1510"/>
      <c r="O5" s="1511"/>
    </row>
    <row r="6" spans="3:16">
      <c r="C6" s="1518"/>
      <c r="D6" s="1518"/>
      <c r="E6" s="1518"/>
      <c r="F6" s="1518"/>
      <c r="G6" s="1518"/>
      <c r="H6" s="1518"/>
      <c r="I6" s="1518"/>
      <c r="J6" s="1518"/>
      <c r="K6" s="1518"/>
      <c r="L6" s="1518"/>
      <c r="M6" s="1509"/>
      <c r="N6" s="1510"/>
      <c r="O6" s="1511"/>
    </row>
    <row r="7" spans="3:16">
      <c r="C7" s="1518"/>
      <c r="D7" s="1518"/>
      <c r="E7" s="1518"/>
      <c r="F7" s="1518"/>
      <c r="G7" s="1518"/>
      <c r="H7" s="1518"/>
      <c r="I7" s="1518"/>
      <c r="J7" s="1518"/>
      <c r="K7" s="1518"/>
      <c r="L7" s="1518"/>
      <c r="M7" s="1509"/>
      <c r="N7" s="1510"/>
      <c r="O7" s="1511"/>
    </row>
    <row r="8" spans="3:16" ht="13" thickBot="1">
      <c r="C8" s="1518"/>
      <c r="D8" s="1518"/>
      <c r="E8" s="1518"/>
      <c r="F8" s="1518"/>
      <c r="G8" s="1518"/>
      <c r="H8" s="1518"/>
      <c r="I8" s="1518"/>
      <c r="J8" s="1518"/>
      <c r="K8" s="1518"/>
      <c r="L8" s="1518"/>
      <c r="M8" s="1512"/>
      <c r="N8" s="1513"/>
      <c r="O8" s="1514"/>
    </row>
    <row r="9" spans="3:16" ht="5.25" customHeight="1" thickTop="1">
      <c r="C9" s="619"/>
      <c r="D9" s="619"/>
      <c r="E9" s="619"/>
      <c r="F9" s="619"/>
      <c r="G9" s="619"/>
      <c r="H9" s="619"/>
      <c r="I9" s="619"/>
      <c r="J9" s="619"/>
      <c r="K9" s="619"/>
      <c r="L9" s="619"/>
      <c r="M9" s="619"/>
      <c r="N9" s="619"/>
      <c r="O9" s="619"/>
    </row>
    <row r="10" spans="3:16">
      <c r="C10" s="1518" t="s">
        <v>489</v>
      </c>
      <c r="D10" s="1518"/>
      <c r="E10" s="1518"/>
      <c r="F10" s="1518"/>
      <c r="G10" s="1518"/>
      <c r="H10" s="1518"/>
      <c r="I10" s="1518"/>
      <c r="J10" s="1518"/>
      <c r="K10" s="1518"/>
      <c r="L10" s="1518"/>
      <c r="M10" s="1518"/>
      <c r="N10" s="1518"/>
      <c r="O10" s="1518"/>
    </row>
    <row r="11" spans="3:16">
      <c r="C11" s="1518"/>
      <c r="D11" s="1518"/>
      <c r="E11" s="1518"/>
      <c r="F11" s="1518"/>
      <c r="G11" s="1518"/>
      <c r="H11" s="1518"/>
      <c r="I11" s="1518"/>
      <c r="J11" s="1518"/>
      <c r="K11" s="1518"/>
      <c r="L11" s="1518"/>
      <c r="M11" s="1518"/>
      <c r="N11" s="1518"/>
      <c r="O11" s="1518"/>
    </row>
    <row r="12" spans="3:16">
      <c r="C12" s="1518"/>
      <c r="D12" s="1518"/>
      <c r="E12" s="1518"/>
      <c r="F12" s="1518"/>
      <c r="G12" s="1518"/>
      <c r="H12" s="1518"/>
      <c r="I12" s="1518"/>
      <c r="J12" s="1518"/>
      <c r="K12" s="1518"/>
      <c r="L12" s="1518"/>
      <c r="M12" s="1518"/>
      <c r="N12" s="1518"/>
      <c r="O12" s="1518"/>
    </row>
    <row r="13" spans="3:16">
      <c r="C13" s="100"/>
      <c r="D13" s="100"/>
      <c r="E13" s="100"/>
      <c r="F13" s="100"/>
      <c r="G13" s="100"/>
      <c r="H13" s="716"/>
      <c r="I13" s="100"/>
      <c r="J13" s="100"/>
      <c r="K13" s="100"/>
      <c r="L13" s="100"/>
      <c r="M13" s="716"/>
      <c r="N13" s="716"/>
      <c r="O13" s="716"/>
      <c r="P13" s="100"/>
    </row>
    <row r="14" spans="3:16">
      <c r="C14" s="846"/>
      <c r="D14" s="847"/>
      <c r="E14" s="847"/>
      <c r="F14" s="847"/>
      <c r="G14" s="847"/>
      <c r="H14" s="848"/>
      <c r="I14" s="849"/>
      <c r="J14" s="849"/>
      <c r="K14" s="849"/>
      <c r="L14" s="849"/>
      <c r="M14" s="848"/>
      <c r="N14" s="848"/>
      <c r="O14" s="850"/>
      <c r="P14" s="100"/>
    </row>
    <row r="15" spans="3:16" ht="18.75" customHeight="1">
      <c r="C15" s="851"/>
      <c r="D15" s="852" t="s">
        <v>569</v>
      </c>
      <c r="E15" s="853"/>
      <c r="F15" s="853"/>
      <c r="G15" s="854"/>
      <c r="H15" s="229"/>
      <c r="I15" s="100"/>
      <c r="J15" s="100"/>
      <c r="K15" s="100"/>
      <c r="L15" s="100"/>
      <c r="M15" s="716"/>
      <c r="N15" s="716"/>
      <c r="O15" s="855"/>
      <c r="P15" s="100"/>
    </row>
    <row r="16" spans="3:16">
      <c r="C16" s="851"/>
      <c r="D16" s="856"/>
      <c r="E16" s="229"/>
      <c r="F16" s="229"/>
      <c r="G16" s="229"/>
      <c r="H16" s="229"/>
      <c r="I16" s="100"/>
      <c r="J16" s="100"/>
      <c r="K16" s="100"/>
      <c r="L16" s="100"/>
      <c r="M16" s="716"/>
      <c r="N16" s="716"/>
      <c r="O16" s="855"/>
      <c r="P16" s="100"/>
    </row>
    <row r="17" spans="3:16">
      <c r="C17" s="851"/>
      <c r="D17" s="857" t="s">
        <v>610</v>
      </c>
      <c r="E17" s="1722" t="s">
        <v>1537</v>
      </c>
      <c r="F17" s="1723"/>
      <c r="G17" s="1723"/>
      <c r="H17" s="1724"/>
      <c r="I17" s="100"/>
      <c r="J17" s="100"/>
      <c r="K17" s="100"/>
      <c r="L17" s="100"/>
      <c r="M17" s="716"/>
      <c r="N17" s="716"/>
      <c r="O17" s="855"/>
      <c r="P17" s="100"/>
    </row>
    <row r="18" spans="3:16">
      <c r="C18" s="851"/>
      <c r="D18" s="857" t="s">
        <v>1363</v>
      </c>
      <c r="E18" s="808">
        <v>36</v>
      </c>
      <c r="F18" s="808">
        <v>4</v>
      </c>
      <c r="G18" s="808">
        <v>64</v>
      </c>
      <c r="H18" s="808">
        <v>47</v>
      </c>
      <c r="I18" s="100"/>
      <c r="J18" s="100"/>
      <c r="K18" s="100"/>
      <c r="L18" s="100"/>
      <c r="M18" s="716"/>
      <c r="N18" s="716"/>
      <c r="O18" s="855"/>
      <c r="P18" s="100"/>
    </row>
    <row r="19" spans="3:16">
      <c r="C19" s="859">
        <v>1</v>
      </c>
      <c r="D19" s="857" t="s">
        <v>1364</v>
      </c>
      <c r="E19" s="808">
        <v>15</v>
      </c>
      <c r="F19" s="808">
        <v>82</v>
      </c>
      <c r="G19" s="808">
        <v>13</v>
      </c>
      <c r="H19" s="808">
        <v>25</v>
      </c>
      <c r="I19" s="716"/>
      <c r="J19" s="716"/>
      <c r="K19" s="716"/>
      <c r="L19" s="716"/>
      <c r="M19" s="716"/>
      <c r="N19" s="716"/>
      <c r="O19" s="855"/>
      <c r="P19" s="100"/>
    </row>
    <row r="20" spans="3:16">
      <c r="C20" s="859">
        <f>C19+1</f>
        <v>2</v>
      </c>
      <c r="D20" s="857" t="s">
        <v>1473</v>
      </c>
      <c r="E20" s="808">
        <v>22</v>
      </c>
      <c r="F20" s="808">
        <v>44</v>
      </c>
      <c r="G20" s="808">
        <v>13</v>
      </c>
      <c r="H20" s="808">
        <v>93</v>
      </c>
      <c r="I20" s="100"/>
      <c r="J20" s="1033" t="str">
        <f ca="1">"Series " &amp; OFFSET(D17,M20,0)</f>
        <v>Series B</v>
      </c>
      <c r="K20" s="100"/>
      <c r="L20" s="100"/>
      <c r="M20" s="984">
        <v>2</v>
      </c>
      <c r="N20" s="716"/>
      <c r="O20" s="855"/>
      <c r="P20" s="100"/>
    </row>
    <row r="21" spans="3:16">
      <c r="C21" s="859">
        <f>C20+1</f>
        <v>3</v>
      </c>
      <c r="D21" s="857" t="s">
        <v>1474</v>
      </c>
      <c r="E21" s="808">
        <v>16</v>
      </c>
      <c r="F21" s="808">
        <v>5</v>
      </c>
      <c r="G21" s="808">
        <v>76</v>
      </c>
      <c r="H21" s="808">
        <v>88</v>
      </c>
      <c r="I21" s="100"/>
      <c r="J21" s="716"/>
      <c r="K21" s="716"/>
      <c r="L21" s="716"/>
      <c r="M21" s="716"/>
      <c r="N21" s="716"/>
      <c r="O21" s="855"/>
      <c r="P21" s="100"/>
    </row>
    <row r="22" spans="3:16">
      <c r="C22" s="859">
        <f>C21+1</f>
        <v>4</v>
      </c>
      <c r="D22" s="857" t="s">
        <v>1475</v>
      </c>
      <c r="E22" s="808">
        <v>72</v>
      </c>
      <c r="F22" s="808">
        <v>9</v>
      </c>
      <c r="G22" s="808">
        <v>17</v>
      </c>
      <c r="H22" s="808">
        <v>27</v>
      </c>
      <c r="I22" s="100"/>
      <c r="J22" s="716">
        <f ca="1">OFFSET(E17,$M$20,0)</f>
        <v>15</v>
      </c>
      <c r="K22" s="716">
        <f ca="1">OFFSET(F17,$M$20,0)</f>
        <v>82</v>
      </c>
      <c r="L22" s="716">
        <f ca="1">OFFSET(G17,$M$20,0)</f>
        <v>13</v>
      </c>
      <c r="M22" s="716">
        <f ca="1">OFFSET(H17,$M$20,0)</f>
        <v>25</v>
      </c>
      <c r="N22" s="716"/>
      <c r="O22" s="855"/>
      <c r="P22" s="100"/>
    </row>
    <row r="23" spans="3:16" s="861" customFormat="1">
      <c r="C23" s="859">
        <f>C22+1</f>
        <v>5</v>
      </c>
      <c r="D23" s="857" t="s">
        <v>1476</v>
      </c>
      <c r="E23" s="808">
        <v>31</v>
      </c>
      <c r="F23" s="808">
        <v>28</v>
      </c>
      <c r="G23" s="808">
        <v>47</v>
      </c>
      <c r="H23" s="808">
        <v>23</v>
      </c>
      <c r="I23" s="60"/>
      <c r="J23" s="60"/>
      <c r="K23" s="60"/>
      <c r="L23" s="60"/>
      <c r="M23" s="60"/>
      <c r="N23" s="60"/>
      <c r="O23" s="860"/>
    </row>
    <row r="24" spans="3:16" s="861" customFormat="1">
      <c r="C24" s="862">
        <f>C23+1</f>
        <v>6</v>
      </c>
      <c r="D24" s="863"/>
      <c r="E24" s="863"/>
      <c r="F24" s="863"/>
      <c r="G24" s="863"/>
      <c r="H24" s="863"/>
      <c r="I24" s="864"/>
      <c r="J24" s="864"/>
      <c r="K24" s="864"/>
      <c r="L24" s="864"/>
      <c r="M24" s="864"/>
      <c r="N24" s="864"/>
      <c r="O24" s="865"/>
    </row>
    <row r="25" spans="3:16" s="861" customFormat="1">
      <c r="H25" s="60"/>
      <c r="I25" s="60"/>
      <c r="J25" s="60"/>
      <c r="K25" s="60"/>
      <c r="L25" s="60"/>
      <c r="M25" s="60"/>
      <c r="N25" s="60"/>
      <c r="O25" s="60"/>
    </row>
    <row r="26" spans="3:16" s="861" customFormat="1">
      <c r="C26" s="1685" t="s">
        <v>401</v>
      </c>
      <c r="D26" s="1685"/>
      <c r="E26" s="1685"/>
      <c r="F26" s="1685"/>
      <c r="G26" s="1685"/>
      <c r="H26" s="1685"/>
      <c r="I26" s="1685"/>
      <c r="J26" s="1685"/>
      <c r="K26" s="1685"/>
      <c r="L26" s="1685"/>
      <c r="M26" s="1685"/>
      <c r="N26" s="1685"/>
      <c r="O26" s="1685"/>
    </row>
    <row r="27" spans="3:16" s="861" customFormat="1">
      <c r="C27" s="1685"/>
      <c r="D27" s="1685"/>
      <c r="E27" s="1685"/>
      <c r="F27" s="1685"/>
      <c r="G27" s="1685"/>
      <c r="H27" s="1685"/>
      <c r="I27" s="1685"/>
      <c r="J27" s="1685"/>
      <c r="K27" s="1685"/>
      <c r="L27" s="1685"/>
      <c r="M27" s="1685"/>
      <c r="N27" s="1685"/>
      <c r="O27" s="1685"/>
    </row>
    <row r="28" spans="3:16" s="861" customFormat="1">
      <c r="C28" s="1685"/>
      <c r="D28" s="1685"/>
      <c r="E28" s="1685"/>
      <c r="F28" s="1685"/>
      <c r="G28" s="1685"/>
      <c r="H28" s="1685"/>
      <c r="I28" s="1685"/>
      <c r="J28" s="1685"/>
      <c r="K28" s="1685"/>
      <c r="L28" s="1685"/>
      <c r="M28" s="1685"/>
      <c r="N28" s="1685"/>
      <c r="O28" s="1685"/>
    </row>
    <row r="29" spans="3:16" s="861" customFormat="1">
      <c r="C29" s="60"/>
      <c r="D29" s="60"/>
      <c r="E29" s="60"/>
      <c r="F29" s="60"/>
      <c r="G29" s="60"/>
      <c r="H29" s="60"/>
      <c r="I29" s="60"/>
      <c r="J29" s="60"/>
      <c r="K29" s="60"/>
      <c r="L29" s="60"/>
      <c r="M29" s="60"/>
      <c r="N29" s="60"/>
      <c r="O29" s="60"/>
    </row>
    <row r="30" spans="3:16" s="861" customFormat="1" ht="13">
      <c r="C30" s="615" t="s">
        <v>570</v>
      </c>
      <c r="D30" s="60"/>
      <c r="E30" s="60"/>
      <c r="F30" s="60"/>
      <c r="G30" s="60"/>
      <c r="H30" s="60"/>
      <c r="I30" s="60"/>
      <c r="J30" s="60"/>
      <c r="K30" s="60"/>
      <c r="L30" s="60"/>
      <c r="M30" s="60"/>
      <c r="N30" s="60"/>
      <c r="O30" s="60"/>
    </row>
    <row r="31" spans="3:16" s="861" customFormat="1">
      <c r="C31" s="60"/>
      <c r="D31" s="60"/>
      <c r="E31" s="60"/>
      <c r="F31" s="60"/>
      <c r="G31" s="60"/>
      <c r="H31" s="60"/>
      <c r="I31" s="60"/>
      <c r="J31" s="60"/>
      <c r="K31" s="60"/>
      <c r="L31" s="60"/>
      <c r="M31" s="60"/>
      <c r="N31" s="60"/>
      <c r="O31" s="60"/>
    </row>
    <row r="32" spans="3:16" s="861" customFormat="1">
      <c r="C32" s="1685" t="s">
        <v>1205</v>
      </c>
      <c r="D32" s="1685"/>
      <c r="E32" s="1685"/>
      <c r="F32" s="1685"/>
      <c r="G32" s="1685"/>
      <c r="H32" s="1685"/>
      <c r="I32" s="1685"/>
      <c r="J32" s="1685"/>
      <c r="K32" s="1685"/>
      <c r="L32" s="1685"/>
      <c r="M32" s="1685"/>
      <c r="N32" s="1685"/>
      <c r="O32" s="1685"/>
    </row>
    <row r="33" spans="3:15" s="861" customFormat="1">
      <c r="C33" s="1685"/>
      <c r="D33" s="1685"/>
      <c r="E33" s="1685"/>
      <c r="F33" s="1685"/>
      <c r="G33" s="1685"/>
      <c r="H33" s="1685"/>
      <c r="I33" s="1685"/>
      <c r="J33" s="1685"/>
      <c r="K33" s="1685"/>
      <c r="L33" s="1685"/>
      <c r="M33" s="1685"/>
      <c r="N33" s="1685"/>
      <c r="O33" s="1685"/>
    </row>
    <row r="34" spans="3:15" s="861" customFormat="1">
      <c r="C34" s="1685"/>
      <c r="D34" s="1685"/>
      <c r="E34" s="1685"/>
      <c r="F34" s="1685"/>
      <c r="G34" s="1685"/>
      <c r="H34" s="1685"/>
      <c r="I34" s="1685"/>
      <c r="J34" s="1685"/>
      <c r="K34" s="1685"/>
      <c r="L34" s="1685"/>
      <c r="M34" s="1685"/>
      <c r="N34" s="1685"/>
      <c r="O34" s="1685"/>
    </row>
    <row r="35" spans="3:15" s="861" customFormat="1">
      <c r="C35" s="1685"/>
      <c r="D35" s="1685"/>
      <c r="E35" s="1685"/>
      <c r="F35" s="1685"/>
      <c r="G35" s="1685"/>
      <c r="H35" s="1685"/>
      <c r="I35" s="1685"/>
      <c r="J35" s="1685"/>
      <c r="K35" s="1685"/>
      <c r="L35" s="1685"/>
      <c r="M35" s="1685"/>
      <c r="N35" s="1685"/>
      <c r="O35" s="1685"/>
    </row>
    <row r="36" spans="3:15" s="861" customFormat="1">
      <c r="C36" s="1685"/>
      <c r="D36" s="1685"/>
      <c r="E36" s="1685"/>
      <c r="F36" s="1685"/>
      <c r="G36" s="1685"/>
      <c r="H36" s="1685"/>
      <c r="I36" s="1685"/>
      <c r="J36" s="1685"/>
      <c r="K36" s="1685"/>
      <c r="L36" s="1685"/>
      <c r="M36" s="1685"/>
      <c r="N36" s="1685"/>
      <c r="O36" s="1685"/>
    </row>
    <row r="37" spans="3:15" s="861" customFormat="1">
      <c r="C37" s="1685"/>
      <c r="D37" s="1685"/>
      <c r="E37" s="1685"/>
      <c r="F37" s="1685"/>
      <c r="G37" s="1685"/>
      <c r="H37" s="1685"/>
      <c r="I37" s="1685"/>
      <c r="J37" s="1685"/>
      <c r="K37" s="1685"/>
      <c r="L37" s="1685"/>
      <c r="M37" s="1685"/>
      <c r="N37" s="1685"/>
      <c r="O37" s="1685"/>
    </row>
    <row r="38" spans="3:15" s="861" customFormat="1">
      <c r="C38" s="1685"/>
      <c r="D38" s="1685"/>
      <c r="E38" s="1685"/>
      <c r="F38" s="1685"/>
      <c r="G38" s="1685"/>
      <c r="H38" s="1685"/>
      <c r="I38" s="1685"/>
      <c r="J38" s="1685"/>
      <c r="K38" s="1685"/>
      <c r="L38" s="1685"/>
      <c r="M38" s="1685"/>
      <c r="N38" s="1685"/>
      <c r="O38" s="1685"/>
    </row>
    <row r="39" spans="3:15" s="861" customFormat="1">
      <c r="C39" s="1685"/>
      <c r="D39" s="1685"/>
      <c r="E39" s="1685"/>
      <c r="F39" s="1685"/>
      <c r="G39" s="1685"/>
      <c r="H39" s="1685"/>
      <c r="I39" s="1685"/>
      <c r="J39" s="1685"/>
      <c r="K39" s="1685"/>
      <c r="L39" s="1685"/>
      <c r="M39" s="1685"/>
      <c r="N39" s="1685"/>
      <c r="O39" s="1685"/>
    </row>
    <row r="40" spans="3:15" s="861" customFormat="1">
      <c r="C40" s="1685"/>
      <c r="D40" s="1685"/>
      <c r="E40" s="1685"/>
      <c r="F40" s="1685"/>
      <c r="G40" s="1685"/>
      <c r="H40" s="1685"/>
      <c r="I40" s="1685"/>
      <c r="J40" s="1685"/>
      <c r="K40" s="1685"/>
      <c r="L40" s="1685"/>
      <c r="M40" s="1685"/>
      <c r="N40" s="1685"/>
      <c r="O40" s="1685"/>
    </row>
    <row r="41" spans="3:15" s="861" customFormat="1">
      <c r="C41" s="1685"/>
      <c r="D41" s="1685"/>
      <c r="E41" s="1685"/>
      <c r="F41" s="1685"/>
      <c r="G41" s="1685"/>
      <c r="H41" s="1685"/>
      <c r="I41" s="1685"/>
      <c r="J41" s="1685"/>
      <c r="K41" s="1685"/>
      <c r="L41" s="1685"/>
      <c r="M41" s="1685"/>
      <c r="N41" s="1685"/>
      <c r="O41" s="1685"/>
    </row>
    <row r="42" spans="3:15" s="861" customFormat="1">
      <c r="C42" s="1685"/>
      <c r="D42" s="1685"/>
      <c r="E42" s="1685"/>
      <c r="F42" s="1685"/>
      <c r="G42" s="1685"/>
      <c r="H42" s="1685"/>
      <c r="I42" s="1685"/>
      <c r="J42" s="1685"/>
      <c r="K42" s="1685"/>
      <c r="L42" s="1685"/>
      <c r="M42" s="1685"/>
      <c r="N42" s="1685"/>
      <c r="O42" s="1685"/>
    </row>
    <row r="43" spans="3:15" s="861" customFormat="1" ht="13" thickBot="1">
      <c r="C43" s="1685"/>
      <c r="D43" s="1685"/>
      <c r="E43" s="1685"/>
      <c r="F43" s="1685"/>
      <c r="G43" s="1685"/>
      <c r="H43" s="1685"/>
      <c r="I43" s="1685"/>
      <c r="J43" s="1685"/>
      <c r="K43" s="1685"/>
      <c r="L43" s="1685"/>
      <c r="M43" s="1685"/>
      <c r="N43" s="1685"/>
      <c r="O43" s="1685"/>
    </row>
    <row r="44" spans="3:15" ht="13" thickTop="1">
      <c r="C44" s="781"/>
      <c r="D44" s="781" t="s">
        <v>1363</v>
      </c>
      <c r="E44" s="781" t="s">
        <v>1364</v>
      </c>
      <c r="F44" s="781" t="s">
        <v>1473</v>
      </c>
      <c r="G44" s="781" t="s">
        <v>1474</v>
      </c>
      <c r="H44" s="781" t="s">
        <v>1475</v>
      </c>
      <c r="I44" s="781" t="s">
        <v>1476</v>
      </c>
      <c r="J44" s="781" t="s">
        <v>497</v>
      </c>
      <c r="K44" s="781" t="s">
        <v>1511</v>
      </c>
      <c r="M44" s="1506" t="str">
        <f ca="1">OFFSET(ad_first,OFFSET(ads_top,ROW(ads_fn_OFFSET)-1,2),0)</f>
        <v>We can customise our courses for particular audiences.</v>
      </c>
      <c r="N44" s="1507"/>
      <c r="O44" s="1508"/>
    </row>
    <row r="45" spans="3:15" ht="13.5" thickBot="1">
      <c r="C45" s="781">
        <v>1</v>
      </c>
      <c r="D45" s="866" t="s">
        <v>1589</v>
      </c>
      <c r="E45" s="867">
        <v>1</v>
      </c>
      <c r="F45" s="867">
        <v>2</v>
      </c>
      <c r="G45" s="867">
        <v>3</v>
      </c>
      <c r="H45" s="867">
        <v>4</v>
      </c>
      <c r="I45" s="868"/>
      <c r="J45" s="868"/>
      <c r="K45" s="868"/>
      <c r="M45" s="1509"/>
      <c r="N45" s="1510"/>
      <c r="O45" s="1511"/>
    </row>
    <row r="46" spans="3:15" ht="13" thickBot="1">
      <c r="C46" s="783">
        <v>2</v>
      </c>
      <c r="D46" s="869" t="s">
        <v>571</v>
      </c>
      <c r="E46" s="870">
        <v>0.12</v>
      </c>
      <c r="F46" s="871">
        <v>0.14000000000000001</v>
      </c>
      <c r="G46" s="871">
        <v>0.1</v>
      </c>
      <c r="H46" s="871">
        <v>0.11</v>
      </c>
      <c r="I46" s="868"/>
      <c r="J46" s="868"/>
      <c r="K46" s="868"/>
      <c r="M46" s="1509"/>
      <c r="N46" s="1510"/>
      <c r="O46" s="1511"/>
    </row>
    <row r="47" spans="3:15">
      <c r="C47" s="781">
        <v>3</v>
      </c>
      <c r="D47" s="872"/>
      <c r="E47" s="868"/>
      <c r="F47" s="868"/>
      <c r="G47" s="868"/>
      <c r="H47" s="868"/>
      <c r="I47" s="868"/>
      <c r="J47" s="868"/>
      <c r="K47" s="868"/>
      <c r="M47" s="1509"/>
      <c r="N47" s="1510"/>
      <c r="O47" s="1511"/>
    </row>
    <row r="48" spans="3:15" ht="13" thickBot="1">
      <c r="C48" s="781">
        <v>4</v>
      </c>
      <c r="D48" s="873" t="s">
        <v>572</v>
      </c>
      <c r="E48" s="873"/>
      <c r="F48" s="874"/>
      <c r="G48" s="873"/>
      <c r="H48" s="873"/>
      <c r="I48" s="868"/>
      <c r="J48" s="868"/>
      <c r="K48" s="868"/>
      <c r="M48" s="1512"/>
      <c r="N48" s="1513"/>
      <c r="O48" s="1514"/>
    </row>
    <row r="49" spans="3:15" ht="13.5" thickTop="1" thickBot="1">
      <c r="C49" s="781">
        <v>5</v>
      </c>
      <c r="D49" s="868" t="s">
        <v>573</v>
      </c>
      <c r="E49" s="875"/>
      <c r="F49" s="876">
        <v>3</v>
      </c>
      <c r="G49" s="877"/>
      <c r="H49" s="868"/>
      <c r="I49" s="868"/>
      <c r="J49" s="868"/>
      <c r="K49" s="868"/>
    </row>
    <row r="50" spans="3:15">
      <c r="C50" s="781">
        <v>6</v>
      </c>
      <c r="D50" s="868" t="s">
        <v>574</v>
      </c>
      <c r="E50" s="868"/>
      <c r="F50" s="878">
        <f ca="1">OFFSET(D46,0,F49)</f>
        <v>0.1</v>
      </c>
      <c r="G50" s="1036" t="s">
        <v>1229</v>
      </c>
      <c r="H50" s="868"/>
      <c r="I50" s="868"/>
      <c r="J50" s="868"/>
      <c r="K50" s="868"/>
    </row>
    <row r="51" spans="3:15">
      <c r="C51" s="781">
        <v>7</v>
      </c>
      <c r="D51" s="868"/>
      <c r="E51" s="868"/>
      <c r="F51" s="868"/>
      <c r="G51" s="868"/>
      <c r="H51" s="868"/>
      <c r="I51" s="868"/>
      <c r="J51" s="868"/>
      <c r="K51" s="868"/>
    </row>
    <row r="52" spans="3:15"/>
    <row r="53" spans="3:15">
      <c r="C53" s="1518" t="s">
        <v>1204</v>
      </c>
      <c r="D53" s="1518"/>
      <c r="E53" s="1518"/>
      <c r="F53" s="1518"/>
      <c r="G53" s="1518"/>
      <c r="H53" s="1518"/>
      <c r="I53" s="1518"/>
      <c r="J53" s="1518"/>
      <c r="K53" s="1518"/>
      <c r="L53" s="1518"/>
      <c r="M53" s="1518"/>
      <c r="N53" s="1518"/>
      <c r="O53" s="1518"/>
    </row>
    <row r="54" spans="3:15">
      <c r="C54" s="1518"/>
      <c r="D54" s="1518"/>
      <c r="E54" s="1518"/>
      <c r="F54" s="1518"/>
      <c r="G54" s="1518"/>
      <c r="H54" s="1518"/>
      <c r="I54" s="1518"/>
      <c r="J54" s="1518"/>
      <c r="K54" s="1518"/>
      <c r="L54" s="1518"/>
      <c r="M54" s="1518"/>
      <c r="N54" s="1518"/>
      <c r="O54" s="1518"/>
    </row>
    <row r="55" spans="3:15">
      <c r="C55" s="1518"/>
      <c r="D55" s="1518"/>
      <c r="E55" s="1518"/>
      <c r="F55" s="1518"/>
      <c r="G55" s="1518"/>
      <c r="H55" s="1518"/>
      <c r="I55" s="1518"/>
      <c r="J55" s="1518"/>
      <c r="K55" s="1518"/>
      <c r="L55" s="1518"/>
      <c r="M55" s="1518"/>
      <c r="N55" s="1518"/>
      <c r="O55" s="1518"/>
    </row>
    <row r="56" spans="3:15">
      <c r="C56" s="1518"/>
      <c r="D56" s="1518"/>
      <c r="E56" s="1518"/>
      <c r="F56" s="1518"/>
      <c r="G56" s="1518"/>
      <c r="H56" s="1518"/>
      <c r="I56" s="1518"/>
      <c r="J56" s="1518"/>
      <c r="K56" s="1518"/>
      <c r="L56" s="1518"/>
      <c r="M56" s="1518"/>
      <c r="N56" s="1518"/>
      <c r="O56" s="1518"/>
    </row>
    <row r="57" spans="3:15"/>
    <row r="58" spans="3:15">
      <c r="C58" s="1543" t="s">
        <v>87</v>
      </c>
      <c r="D58" s="1518"/>
      <c r="E58" s="1518"/>
      <c r="F58" s="1518"/>
      <c r="G58" s="1518"/>
      <c r="H58" s="1518"/>
      <c r="I58" s="1518"/>
      <c r="J58" s="1518"/>
      <c r="K58" s="1518"/>
      <c r="L58" s="1518"/>
      <c r="M58" s="1518"/>
      <c r="N58" s="1518"/>
      <c r="O58" s="1518"/>
    </row>
    <row r="59" spans="3:15">
      <c r="C59" s="1518"/>
      <c r="D59" s="1518"/>
      <c r="E59" s="1518"/>
      <c r="F59" s="1518"/>
      <c r="G59" s="1518"/>
      <c r="H59" s="1518"/>
      <c r="I59" s="1518"/>
      <c r="J59" s="1518"/>
      <c r="K59" s="1518"/>
      <c r="L59" s="1518"/>
      <c r="M59" s="1518"/>
      <c r="N59" s="1518"/>
      <c r="O59" s="1518"/>
    </row>
    <row r="60" spans="3:15">
      <c r="C60" s="1518"/>
      <c r="D60" s="1518"/>
      <c r="E60" s="1518"/>
      <c r="F60" s="1518"/>
      <c r="G60" s="1518"/>
      <c r="H60" s="1518"/>
      <c r="I60" s="1518"/>
      <c r="J60" s="1518"/>
      <c r="K60" s="1518"/>
      <c r="L60" s="1518"/>
      <c r="M60" s="1518"/>
      <c r="N60" s="1518"/>
      <c r="O60" s="1518"/>
    </row>
    <row r="61" spans="3:15">
      <c r="C61" s="1518"/>
      <c r="D61" s="1518"/>
      <c r="E61" s="1518"/>
      <c r="F61" s="1518"/>
      <c r="G61" s="1518"/>
      <c r="H61" s="1518"/>
      <c r="I61" s="1518"/>
      <c r="J61" s="1518"/>
      <c r="K61" s="1518"/>
      <c r="L61" s="1518"/>
      <c r="M61" s="1518"/>
      <c r="N61" s="1518"/>
      <c r="O61" s="1518"/>
    </row>
    <row r="62" spans="3:15">
      <c r="C62" s="1518"/>
      <c r="D62" s="1518"/>
      <c r="E62" s="1518"/>
      <c r="F62" s="1518"/>
      <c r="G62" s="1518"/>
      <c r="H62" s="1518"/>
      <c r="I62" s="1518"/>
      <c r="J62" s="1518"/>
      <c r="K62" s="1518"/>
      <c r="L62" s="1518"/>
      <c r="M62" s="1518"/>
      <c r="N62" s="1518"/>
      <c r="O62" s="1518"/>
    </row>
    <row r="63" spans="3:15" ht="13" thickBot="1"/>
    <row r="64" spans="3:15" ht="13" thickTop="1">
      <c r="C64" s="781"/>
      <c r="D64" s="781" t="s">
        <v>1363</v>
      </c>
      <c r="E64" s="781" t="s">
        <v>1364</v>
      </c>
      <c r="F64" s="781" t="s">
        <v>1473</v>
      </c>
      <c r="G64" s="781" t="s">
        <v>1474</v>
      </c>
      <c r="H64" s="781" t="s">
        <v>1475</v>
      </c>
      <c r="I64" s="781" t="s">
        <v>1476</v>
      </c>
      <c r="J64" s="781" t="s">
        <v>497</v>
      </c>
      <c r="K64" s="781" t="s">
        <v>1511</v>
      </c>
      <c r="M64" s="1506" t="str">
        <f ca="1">OFFSET(ad_first,OFFSET(ads_top,ROW(ads_fn_OFFSET)-1,3),0)</f>
        <v>Participants on our courses have the opportunity to do on-line pre and post-course self-evaluations.</v>
      </c>
      <c r="N64" s="1507"/>
      <c r="O64" s="1508"/>
    </row>
    <row r="65" spans="3:15">
      <c r="C65" s="781">
        <v>1</v>
      </c>
      <c r="D65" s="868">
        <v>3</v>
      </c>
      <c r="E65" s="868">
        <v>4</v>
      </c>
      <c r="F65" s="868">
        <v>5</v>
      </c>
      <c r="G65" s="868">
        <v>12</v>
      </c>
      <c r="H65" s="868">
        <v>19</v>
      </c>
      <c r="I65" s="868">
        <v>28</v>
      </c>
      <c r="J65" s="868"/>
      <c r="K65" s="868"/>
      <c r="M65" s="1509"/>
      <c r="N65" s="1510"/>
      <c r="O65" s="1511"/>
    </row>
    <row r="66" spans="3:15">
      <c r="C66" s="781">
        <v>2</v>
      </c>
      <c r="D66" s="868">
        <v>6</v>
      </c>
      <c r="E66" s="868">
        <v>7</v>
      </c>
      <c r="F66" s="868">
        <v>8</v>
      </c>
      <c r="G66" s="868">
        <v>13</v>
      </c>
      <c r="H66" s="868">
        <v>20</v>
      </c>
      <c r="I66" s="868">
        <v>29</v>
      </c>
      <c r="J66" s="868"/>
      <c r="K66" s="868"/>
      <c r="M66" s="1509"/>
      <c r="N66" s="1510"/>
      <c r="O66" s="1511"/>
    </row>
    <row r="67" spans="3:15" ht="13" thickBot="1">
      <c r="C67" s="781">
        <v>3</v>
      </c>
      <c r="D67" s="868">
        <v>9</v>
      </c>
      <c r="E67" s="879">
        <v>10</v>
      </c>
      <c r="F67" s="868">
        <v>11</v>
      </c>
      <c r="G67" s="868">
        <v>14</v>
      </c>
      <c r="H67" s="868">
        <v>21</v>
      </c>
      <c r="I67" s="868">
        <v>30</v>
      </c>
      <c r="J67" s="868"/>
      <c r="K67" s="868"/>
      <c r="M67" s="1509"/>
      <c r="N67" s="1510"/>
      <c r="O67" s="1511"/>
    </row>
    <row r="68" spans="3:15" ht="13" thickBot="1">
      <c r="C68" s="781">
        <v>4</v>
      </c>
      <c r="D68" s="875">
        <v>15</v>
      </c>
      <c r="E68" s="880">
        <v>16</v>
      </c>
      <c r="F68" s="877">
        <v>17</v>
      </c>
      <c r="G68" s="868">
        <v>18</v>
      </c>
      <c r="H68" s="868">
        <v>22</v>
      </c>
      <c r="I68" s="868">
        <v>31</v>
      </c>
      <c r="J68" s="868"/>
      <c r="K68" s="868"/>
      <c r="M68" s="1512"/>
      <c r="N68" s="1513"/>
      <c r="O68" s="1514"/>
    </row>
    <row r="69" spans="3:15">
      <c r="C69" s="781">
        <v>5</v>
      </c>
      <c r="D69" s="868">
        <v>23</v>
      </c>
      <c r="E69" s="872">
        <v>24</v>
      </c>
      <c r="F69" s="868">
        <v>25</v>
      </c>
      <c r="G69" s="868">
        <v>26</v>
      </c>
      <c r="H69" s="868">
        <v>27</v>
      </c>
      <c r="I69" s="868">
        <v>32</v>
      </c>
      <c r="J69" s="868"/>
      <c r="K69" s="868"/>
    </row>
    <row r="70" spans="3:15">
      <c r="C70" s="781">
        <v>6</v>
      </c>
      <c r="D70" s="868"/>
      <c r="E70" s="868"/>
      <c r="F70" s="868"/>
      <c r="G70" s="868"/>
      <c r="H70" s="868"/>
      <c r="I70" s="868"/>
      <c r="J70" s="868"/>
      <c r="K70" s="868"/>
    </row>
    <row r="71" spans="3:15">
      <c r="C71" s="781">
        <v>7</v>
      </c>
      <c r="D71" s="808">
        <f ca="1">OFFSET(E68,-2,3)</f>
        <v>20</v>
      </c>
      <c r="E71" s="1036" t="s">
        <v>1230</v>
      </c>
      <c r="F71" s="868"/>
      <c r="G71" s="868"/>
      <c r="H71" s="868"/>
      <c r="I71" s="868"/>
      <c r="J71" s="868"/>
      <c r="K71" s="868"/>
    </row>
    <row r="72" spans="3:15">
      <c r="C72" s="781">
        <v>8</v>
      </c>
      <c r="D72" s="868"/>
      <c r="E72" s="868"/>
      <c r="F72" s="868"/>
      <c r="G72" s="868"/>
      <c r="H72" s="868"/>
      <c r="I72" s="868"/>
      <c r="J72" s="868"/>
      <c r="K72" s="868"/>
    </row>
    <row r="73" spans="3:15"/>
    <row r="74" spans="3:15">
      <c r="C74" s="1518" t="s">
        <v>575</v>
      </c>
      <c r="D74" s="1518"/>
      <c r="E74" s="1518"/>
      <c r="F74" s="1518"/>
      <c r="G74" s="1518"/>
      <c r="H74" s="1518"/>
      <c r="I74" s="1518"/>
      <c r="J74" s="1518"/>
      <c r="K74" s="1518"/>
      <c r="L74" s="1518"/>
      <c r="M74" s="1518"/>
      <c r="N74" s="1518"/>
      <c r="O74" s="1518"/>
    </row>
    <row r="75" spans="3:15">
      <c r="C75" s="1518"/>
      <c r="D75" s="1518"/>
      <c r="E75" s="1518"/>
      <c r="F75" s="1518"/>
      <c r="G75" s="1518"/>
      <c r="H75" s="1518"/>
      <c r="I75" s="1518"/>
      <c r="J75" s="1518"/>
      <c r="K75" s="1518"/>
      <c r="L75" s="1518"/>
      <c r="M75" s="1518"/>
      <c r="N75" s="1518"/>
      <c r="O75" s="1518"/>
    </row>
    <row r="76" spans="3:15">
      <c r="C76" s="777"/>
      <c r="D76" s="777"/>
      <c r="E76" s="777"/>
      <c r="F76" s="777"/>
      <c r="G76" s="777"/>
      <c r="H76" s="777"/>
      <c r="I76" s="777"/>
      <c r="J76" s="777"/>
      <c r="K76" s="777"/>
      <c r="L76" s="777"/>
      <c r="M76" s="777"/>
      <c r="N76" s="777"/>
      <c r="O76" s="777"/>
    </row>
    <row r="77" spans="3:15" ht="13">
      <c r="C77" s="881" t="s">
        <v>576</v>
      </c>
      <c r="D77" s="777"/>
      <c r="E77" s="777"/>
      <c r="F77" s="777"/>
      <c r="G77" s="777"/>
      <c r="H77" s="777"/>
      <c r="I77" s="777"/>
      <c r="J77" s="777"/>
      <c r="K77" s="777"/>
      <c r="L77" s="777"/>
      <c r="M77" s="777"/>
      <c r="N77" s="777"/>
      <c r="O77" s="777"/>
    </row>
    <row r="78" spans="3:15">
      <c r="C78" s="777"/>
      <c r="D78" s="777"/>
      <c r="E78" s="777"/>
      <c r="F78" s="777"/>
      <c r="G78" s="777"/>
      <c r="H78" s="777"/>
      <c r="I78" s="777"/>
      <c r="J78" s="777"/>
      <c r="K78" s="777"/>
      <c r="L78" s="777"/>
      <c r="M78" s="777"/>
      <c r="N78" s="777"/>
      <c r="O78" s="777"/>
    </row>
    <row r="79" spans="3:15">
      <c r="C79" s="1518" t="s">
        <v>577</v>
      </c>
      <c r="D79" s="1518"/>
      <c r="E79" s="1518"/>
      <c r="F79" s="1518"/>
      <c r="G79" s="1518"/>
      <c r="H79" s="1518"/>
      <c r="I79" s="1518"/>
      <c r="J79" s="1518"/>
      <c r="K79" s="1518"/>
      <c r="L79" s="1518"/>
      <c r="M79" s="1518"/>
      <c r="N79" s="1518"/>
      <c r="O79" s="1518"/>
    </row>
    <row r="80" spans="3:15">
      <c r="C80" s="1518"/>
      <c r="D80" s="1518"/>
      <c r="E80" s="1518"/>
      <c r="F80" s="1518"/>
      <c r="G80" s="1518"/>
      <c r="H80" s="1518"/>
      <c r="I80" s="1518"/>
      <c r="J80" s="1518"/>
      <c r="K80" s="1518"/>
      <c r="L80" s="1518"/>
      <c r="M80" s="1518"/>
      <c r="N80" s="1518"/>
      <c r="O80" s="1518"/>
    </row>
    <row r="81" spans="3:15" ht="13" thickBot="1"/>
    <row r="82" spans="3:15" ht="13.5" thickTop="1" thickBot="1">
      <c r="C82" s="781"/>
      <c r="D82" s="781" t="s">
        <v>1363</v>
      </c>
      <c r="E82" s="781" t="s">
        <v>1364</v>
      </c>
      <c r="F82" s="782" t="s">
        <v>1473</v>
      </c>
      <c r="G82" s="781" t="s">
        <v>1474</v>
      </c>
      <c r="H82" s="781" t="s">
        <v>1475</v>
      </c>
      <c r="I82" s="781" t="s">
        <v>1476</v>
      </c>
      <c r="J82" s="781" t="s">
        <v>497</v>
      </c>
      <c r="K82" s="781" t="s">
        <v>1511</v>
      </c>
      <c r="M82" s="1506" t="str">
        <f ca="1">OFFSET(ad_first,OFFSET(ads_top,ROW(ads_fn_OFFSET)-1,4),0)</f>
        <v>Our courses are presented internationally.</v>
      </c>
      <c r="N82" s="1507"/>
      <c r="O82" s="1508"/>
    </row>
    <row r="83" spans="3:15" ht="13" thickBot="1">
      <c r="C83" s="781">
        <v>1</v>
      </c>
      <c r="D83" s="868" t="s">
        <v>579</v>
      </c>
      <c r="E83" s="875"/>
      <c r="F83" s="981">
        <v>2</v>
      </c>
      <c r="G83" s="877"/>
      <c r="H83" s="868"/>
      <c r="I83" s="868"/>
      <c r="J83" s="868"/>
      <c r="K83" s="868"/>
      <c r="M83" s="1509"/>
      <c r="N83" s="1510"/>
      <c r="O83" s="1511"/>
    </row>
    <row r="84" spans="3:15">
      <c r="C84" s="781">
        <v>2</v>
      </c>
      <c r="D84" s="868"/>
      <c r="E84" s="868"/>
      <c r="F84" s="872"/>
      <c r="G84" s="868"/>
      <c r="H84" s="868"/>
      <c r="I84" s="868"/>
      <c r="J84" s="868"/>
      <c r="K84" s="868"/>
      <c r="M84" s="1509"/>
      <c r="N84" s="1510"/>
      <c r="O84" s="1511"/>
    </row>
    <row r="85" spans="3:15" ht="20.25" customHeight="1">
      <c r="C85" s="781">
        <v>3</v>
      </c>
      <c r="D85" s="868"/>
      <c r="E85" s="868"/>
      <c r="F85" s="868"/>
      <c r="G85" s="868"/>
      <c r="H85" s="868"/>
      <c r="I85" s="868"/>
      <c r="J85" s="868"/>
      <c r="K85" s="868"/>
      <c r="M85" s="1509"/>
      <c r="N85" s="1510"/>
      <c r="O85" s="1511"/>
    </row>
    <row r="86" spans="3:15" ht="13" thickBot="1">
      <c r="C86" s="781">
        <v>4</v>
      </c>
      <c r="D86" s="868" t="s">
        <v>1582</v>
      </c>
      <c r="E86" s="879"/>
      <c r="F86" s="882">
        <v>1</v>
      </c>
      <c r="G86" s="882">
        <v>2</v>
      </c>
      <c r="H86" s="882">
        <v>3</v>
      </c>
      <c r="I86" s="868"/>
      <c r="J86" s="868"/>
      <c r="K86" s="868"/>
      <c r="M86" s="1512"/>
      <c r="N86" s="1513"/>
      <c r="O86" s="1514"/>
    </row>
    <row r="87" spans="3:15" ht="13.5" thickTop="1" thickBot="1">
      <c r="C87" s="781">
        <v>5</v>
      </c>
      <c r="D87" s="875" t="s">
        <v>571</v>
      </c>
      <c r="E87" s="880"/>
      <c r="F87" s="883">
        <v>0.12</v>
      </c>
      <c r="G87" s="884">
        <v>0.13</v>
      </c>
      <c r="H87" s="884">
        <v>0.14000000000000001</v>
      </c>
      <c r="I87" s="868"/>
      <c r="J87" s="868"/>
      <c r="K87" s="868"/>
    </row>
    <row r="88" spans="3:15">
      <c r="C88" s="781">
        <v>6</v>
      </c>
      <c r="D88" s="868" t="s">
        <v>580</v>
      </c>
      <c r="E88" s="872"/>
      <c r="F88" s="884">
        <v>0.06</v>
      </c>
      <c r="G88" s="884">
        <v>7.0000000000000007E-2</v>
      </c>
      <c r="H88" s="884">
        <v>0.08</v>
      </c>
      <c r="I88" s="868"/>
      <c r="J88" s="868"/>
      <c r="K88" s="868"/>
    </row>
    <row r="89" spans="3:15" ht="13">
      <c r="C89" s="781">
        <v>7</v>
      </c>
      <c r="D89" s="885"/>
      <c r="E89" s="868"/>
      <c r="F89" s="1077"/>
      <c r="G89" s="868"/>
      <c r="H89" s="868"/>
      <c r="I89" s="868"/>
      <c r="J89" s="868"/>
      <c r="K89" s="868"/>
    </row>
    <row r="90" spans="3:15">
      <c r="C90" s="781">
        <v>8</v>
      </c>
      <c r="D90" s="886" t="s">
        <v>1585</v>
      </c>
      <c r="E90" s="886"/>
      <c r="F90" s="886"/>
      <c r="G90" s="886"/>
      <c r="H90" s="886"/>
      <c r="I90" s="886"/>
      <c r="J90" s="868"/>
      <c r="K90" s="868"/>
    </row>
    <row r="91" spans="3:15" ht="13">
      <c r="C91" s="781">
        <v>9</v>
      </c>
      <c r="D91" s="887" t="s">
        <v>571</v>
      </c>
      <c r="E91" s="888"/>
      <c r="F91" s="1078">
        <f ca="1">OFFSET($E87,0,$F$83)</f>
        <v>0.13</v>
      </c>
      <c r="G91" s="1036" t="s">
        <v>1231</v>
      </c>
      <c r="H91" s="868"/>
      <c r="I91" s="868"/>
      <c r="J91" s="868"/>
      <c r="K91" s="868"/>
    </row>
    <row r="92" spans="3:15" ht="13">
      <c r="C92" s="781">
        <v>10</v>
      </c>
      <c r="D92" s="887" t="s">
        <v>580</v>
      </c>
      <c r="E92" s="888"/>
      <c r="F92" s="1078">
        <f ca="1">OFFSET($E88,0,$F$83)</f>
        <v>7.0000000000000007E-2</v>
      </c>
      <c r="G92" s="1037" t="s">
        <v>581</v>
      </c>
      <c r="H92" s="868"/>
      <c r="I92" s="868"/>
      <c r="J92" s="868"/>
      <c r="K92" s="868"/>
    </row>
    <row r="93" spans="3:15"/>
    <row r="94" spans="3:15" ht="13">
      <c r="C94" s="889" t="s">
        <v>582</v>
      </c>
    </row>
    <row r="95" spans="3:15"/>
    <row r="96" spans="3:15">
      <c r="C96" s="1518" t="s">
        <v>266</v>
      </c>
      <c r="D96" s="1518"/>
      <c r="E96" s="1518"/>
      <c r="F96" s="1518"/>
      <c r="G96" s="1518"/>
      <c r="H96" s="1518"/>
      <c r="I96" s="1518"/>
      <c r="J96" s="1518"/>
      <c r="K96" s="1518"/>
      <c r="L96" s="1518"/>
      <c r="M96" s="1518"/>
      <c r="N96" s="1518"/>
      <c r="O96" s="1518"/>
    </row>
    <row r="97" spans="3:15">
      <c r="C97" s="1518"/>
      <c r="D97" s="1518"/>
      <c r="E97" s="1518"/>
      <c r="F97" s="1518"/>
      <c r="G97" s="1518"/>
      <c r="H97" s="1518"/>
      <c r="I97" s="1518"/>
      <c r="J97" s="1518"/>
      <c r="K97" s="1518"/>
      <c r="L97" s="1518"/>
      <c r="M97" s="1518"/>
      <c r="N97" s="1518"/>
      <c r="O97" s="1518"/>
    </row>
    <row r="98" spans="3:15">
      <c r="C98" s="1518"/>
      <c r="D98" s="1518"/>
      <c r="E98" s="1518"/>
      <c r="F98" s="1518"/>
      <c r="G98" s="1518"/>
      <c r="H98" s="1518"/>
      <c r="I98" s="1518"/>
      <c r="J98" s="1518"/>
      <c r="K98" s="1518"/>
      <c r="L98" s="1518"/>
      <c r="M98" s="1518"/>
      <c r="N98" s="1518"/>
      <c r="O98" s="1518"/>
    </row>
    <row r="99" spans="3:15"/>
    <row r="100" spans="3:15" ht="13" thickBot="1">
      <c r="C100" s="781"/>
      <c r="D100" s="781" t="s">
        <v>1363</v>
      </c>
      <c r="E100" s="781" t="s">
        <v>1364</v>
      </c>
      <c r="F100" s="782" t="s">
        <v>1473</v>
      </c>
      <c r="G100" s="781" t="s">
        <v>1474</v>
      </c>
      <c r="H100" s="781" t="s">
        <v>1475</v>
      </c>
      <c r="I100" s="781" t="s">
        <v>1476</v>
      </c>
      <c r="J100" s="781" t="s">
        <v>497</v>
      </c>
      <c r="K100" s="781" t="s">
        <v>1511</v>
      </c>
      <c r="L100" s="781" t="s">
        <v>1512</v>
      </c>
    </row>
    <row r="101" spans="3:15" ht="13" thickBot="1">
      <c r="C101" s="781">
        <v>1</v>
      </c>
      <c r="D101" s="868" t="s">
        <v>583</v>
      </c>
      <c r="E101" s="875"/>
      <c r="F101" s="981">
        <v>4</v>
      </c>
      <c r="G101" s="858"/>
      <c r="H101" s="868"/>
      <c r="I101" s="868"/>
      <c r="J101" s="868"/>
      <c r="K101" s="868"/>
      <c r="L101" s="868"/>
    </row>
    <row r="102" spans="3:15">
      <c r="C102" s="781">
        <v>2</v>
      </c>
      <c r="D102" s="868"/>
      <c r="E102" s="868"/>
      <c r="F102" s="1087"/>
      <c r="G102" s="781"/>
      <c r="H102" s="868"/>
      <c r="I102" s="868"/>
      <c r="J102" s="868"/>
      <c r="K102" s="868"/>
      <c r="L102" s="868"/>
    </row>
    <row r="103" spans="3:15" ht="12.75" customHeight="1">
      <c r="C103" s="781">
        <v>3</v>
      </c>
      <c r="D103" s="781" t="s">
        <v>584</v>
      </c>
      <c r="E103" s="781" t="s">
        <v>1537</v>
      </c>
      <c r="F103" s="868"/>
      <c r="G103" s="868" t="s">
        <v>585</v>
      </c>
      <c r="H103" s="868"/>
      <c r="I103" s="868"/>
      <c r="J103" s="868"/>
      <c r="K103" s="868"/>
      <c r="L103" s="868"/>
    </row>
    <row r="104" spans="3:15">
      <c r="C104" s="781">
        <v>4</v>
      </c>
      <c r="D104" s="1079">
        <v>40179</v>
      </c>
      <c r="E104" s="888">
        <v>100</v>
      </c>
      <c r="F104" s="1080"/>
      <c r="G104" s="1081"/>
      <c r="H104" s="868"/>
      <c r="I104" s="868"/>
      <c r="J104" s="868"/>
      <c r="K104" s="868"/>
      <c r="L104" s="868"/>
    </row>
    <row r="105" spans="3:15">
      <c r="C105" s="781">
        <v>5</v>
      </c>
      <c r="D105" s="1079">
        <v>40180</v>
      </c>
      <c r="E105" s="888">
        <v>10</v>
      </c>
      <c r="F105" s="1080"/>
      <c r="G105" s="1081"/>
      <c r="H105" s="868"/>
      <c r="I105" s="868"/>
      <c r="J105" s="868"/>
      <c r="K105" s="868"/>
      <c r="L105" s="868"/>
    </row>
    <row r="106" spans="3:15" ht="13" thickBot="1">
      <c r="C106" s="781">
        <v>6</v>
      </c>
      <c r="D106" s="1079">
        <v>40181</v>
      </c>
      <c r="E106" s="1082">
        <v>20</v>
      </c>
      <c r="F106" s="1080"/>
      <c r="G106" s="1081"/>
      <c r="H106" s="868"/>
      <c r="I106" s="868"/>
      <c r="J106" s="868"/>
      <c r="K106" s="868"/>
      <c r="L106" s="868"/>
    </row>
    <row r="107" spans="3:15" ht="13" thickBot="1">
      <c r="C107" s="781">
        <v>7</v>
      </c>
      <c r="D107" s="1085">
        <v>40182</v>
      </c>
      <c r="E107" s="890">
        <v>40</v>
      </c>
      <c r="F107" s="1086"/>
      <c r="G107" s="1083">
        <f ca="1">AVERAGE(E107:OFFSET(E107,-($F$101-1),0))</f>
        <v>42.5</v>
      </c>
      <c r="H107" s="1036" t="s">
        <v>1232</v>
      </c>
      <c r="I107" s="868"/>
      <c r="J107" s="868"/>
      <c r="K107" s="868"/>
      <c r="L107" s="868"/>
    </row>
    <row r="108" spans="3:15">
      <c r="C108" s="781">
        <v>8</v>
      </c>
      <c r="D108" s="1079">
        <v>40183</v>
      </c>
      <c r="E108" s="1084">
        <v>60</v>
      </c>
      <c r="F108" s="1080"/>
      <c r="G108" s="1083">
        <f ca="1">AVERAGE(E108:OFFSET(E108,-($F$101-1),0))</f>
        <v>32.5</v>
      </c>
      <c r="H108" s="1037" t="s">
        <v>947</v>
      </c>
      <c r="I108" s="868"/>
      <c r="J108" s="868"/>
      <c r="K108" s="868"/>
      <c r="L108" s="868"/>
    </row>
    <row r="109" spans="3:15">
      <c r="C109" s="781">
        <v>9</v>
      </c>
      <c r="D109" s="1079">
        <v>40184</v>
      </c>
      <c r="E109" s="888">
        <v>80</v>
      </c>
      <c r="F109" s="1080"/>
      <c r="G109" s="1083">
        <f ca="1">AVERAGE(E109:OFFSET(E109,-($F$101-1),0))</f>
        <v>50</v>
      </c>
      <c r="H109" s="1036" t="s">
        <v>948</v>
      </c>
      <c r="I109" s="868"/>
      <c r="J109" s="868"/>
      <c r="K109" s="868"/>
      <c r="L109" s="868"/>
    </row>
    <row r="110" spans="3:15"/>
    <row r="111" spans="3:15">
      <c r="C111" s="1518" t="s">
        <v>267</v>
      </c>
      <c r="D111" s="1518"/>
      <c r="E111" s="1518"/>
      <c r="F111" s="1518"/>
      <c r="G111" s="1518"/>
      <c r="H111" s="1518"/>
      <c r="I111" s="1518"/>
      <c r="J111" s="1518"/>
      <c r="K111" s="1518"/>
      <c r="L111" s="1518"/>
      <c r="M111" s="1518"/>
      <c r="N111" s="1518"/>
      <c r="O111" s="1518"/>
    </row>
    <row r="112" spans="3:15">
      <c r="C112" s="1518"/>
      <c r="D112" s="1518"/>
      <c r="E112" s="1518"/>
      <c r="F112" s="1518"/>
      <c r="G112" s="1518"/>
      <c r="H112" s="1518"/>
      <c r="I112" s="1518"/>
      <c r="J112" s="1518"/>
      <c r="K112" s="1518"/>
      <c r="L112" s="1518"/>
      <c r="M112" s="1518"/>
      <c r="N112" s="1518"/>
      <c r="O112" s="1518"/>
    </row>
    <row r="113" spans="3:15">
      <c r="C113" s="1518"/>
      <c r="D113" s="1518"/>
      <c r="E113" s="1518"/>
      <c r="F113" s="1518"/>
      <c r="G113" s="1518"/>
      <c r="H113" s="1518"/>
      <c r="I113" s="1518"/>
      <c r="J113" s="1518"/>
      <c r="K113" s="1518"/>
      <c r="L113" s="1518"/>
      <c r="M113" s="1518"/>
      <c r="N113" s="1518"/>
      <c r="O113" s="1518"/>
    </row>
    <row r="114" spans="3:15"/>
    <row r="115" spans="3:15">
      <c r="C115" s="1518" t="s">
        <v>1165</v>
      </c>
      <c r="D115" s="1518"/>
      <c r="E115" s="1518"/>
      <c r="F115" s="1518"/>
      <c r="G115" s="1518"/>
      <c r="H115" s="1518"/>
      <c r="I115" s="1518"/>
      <c r="J115" s="1518"/>
      <c r="K115" s="1518"/>
      <c r="L115" s="1518"/>
      <c r="M115" s="1518"/>
      <c r="N115" s="1518"/>
      <c r="O115" s="1518"/>
    </row>
    <row r="116" spans="3:15">
      <c r="C116" s="1518"/>
      <c r="D116" s="1518"/>
      <c r="E116" s="1518"/>
      <c r="F116" s="1518"/>
      <c r="G116" s="1518"/>
      <c r="H116" s="1518"/>
      <c r="I116" s="1518"/>
      <c r="J116" s="1518"/>
      <c r="K116" s="1518"/>
      <c r="L116" s="1518"/>
      <c r="M116" s="1518"/>
      <c r="N116" s="1518"/>
      <c r="O116" s="1518"/>
    </row>
    <row r="117" spans="3:15">
      <c r="C117" s="1518"/>
      <c r="D117" s="1518"/>
      <c r="E117" s="1518"/>
      <c r="F117" s="1518"/>
      <c r="G117" s="1518"/>
      <c r="H117" s="1518"/>
      <c r="I117" s="1518"/>
      <c r="J117" s="1518"/>
      <c r="K117" s="1518"/>
      <c r="L117" s="1518"/>
      <c r="M117" s="1518"/>
      <c r="N117" s="1518"/>
      <c r="O117" s="1518"/>
    </row>
    <row r="118" spans="3:15">
      <c r="C118" s="1518"/>
      <c r="D118" s="1518"/>
      <c r="E118" s="1518"/>
      <c r="F118" s="1518"/>
      <c r="G118" s="1518"/>
      <c r="H118" s="1518"/>
      <c r="I118" s="1518"/>
      <c r="J118" s="1518"/>
      <c r="K118" s="1518"/>
      <c r="L118" s="1518"/>
      <c r="M118" s="1518"/>
      <c r="N118" s="1518"/>
      <c r="O118" s="1518"/>
    </row>
    <row r="119" spans="3:15">
      <c r="C119" s="1518"/>
      <c r="D119" s="1518"/>
      <c r="E119" s="1518"/>
      <c r="F119" s="1518"/>
      <c r="G119" s="1518"/>
      <c r="H119" s="1518"/>
      <c r="I119" s="1518"/>
      <c r="J119" s="1518"/>
      <c r="K119" s="1518"/>
      <c r="L119" s="1518"/>
      <c r="M119" s="1518"/>
      <c r="N119" s="1518"/>
      <c r="O119" s="1518"/>
    </row>
    <row r="120" spans="3:15">
      <c r="C120" s="1518"/>
      <c r="D120" s="1518"/>
      <c r="E120" s="1518"/>
      <c r="F120" s="1518"/>
      <c r="G120" s="1518"/>
      <c r="H120" s="1518"/>
      <c r="I120" s="1518"/>
      <c r="J120" s="1518"/>
      <c r="K120" s="1518"/>
      <c r="L120" s="1518"/>
      <c r="M120" s="1518"/>
      <c r="N120" s="1518"/>
      <c r="O120" s="1518"/>
    </row>
    <row r="121" spans="3:15">
      <c r="C121" s="1518"/>
      <c r="D121" s="1518"/>
      <c r="E121" s="1518"/>
      <c r="F121" s="1518"/>
      <c r="G121" s="1518"/>
      <c r="H121" s="1518"/>
      <c r="I121" s="1518"/>
      <c r="J121" s="1518"/>
      <c r="K121" s="1518"/>
      <c r="L121" s="1518"/>
      <c r="M121" s="1518"/>
      <c r="N121" s="1518"/>
      <c r="O121" s="1518"/>
    </row>
    <row r="122" spans="3:15">
      <c r="C122" s="1518"/>
      <c r="D122" s="1518"/>
      <c r="E122" s="1518"/>
      <c r="F122" s="1518"/>
      <c r="G122" s="1518"/>
      <c r="H122" s="1518"/>
      <c r="I122" s="1518"/>
      <c r="J122" s="1518"/>
      <c r="K122" s="1518"/>
      <c r="L122" s="1518"/>
      <c r="M122" s="1518"/>
      <c r="N122" s="1518"/>
      <c r="O122" s="1518"/>
    </row>
    <row r="123" spans="3:15">
      <c r="C123" s="1518"/>
      <c r="D123" s="1518"/>
      <c r="E123" s="1518"/>
      <c r="F123" s="1518"/>
      <c r="G123" s="1518"/>
      <c r="H123" s="1518"/>
      <c r="I123" s="1518"/>
      <c r="J123" s="1518"/>
      <c r="K123" s="1518"/>
      <c r="L123" s="1518"/>
      <c r="M123" s="1518"/>
      <c r="N123" s="1518"/>
      <c r="O123" s="1518"/>
    </row>
    <row r="124" spans="3:15">
      <c r="C124" s="1518"/>
      <c r="D124" s="1518"/>
      <c r="E124" s="1518"/>
      <c r="F124" s="1518"/>
      <c r="G124" s="1518"/>
      <c r="H124" s="1518"/>
      <c r="I124" s="1518"/>
      <c r="J124" s="1518"/>
      <c r="K124" s="1518"/>
      <c r="L124" s="1518"/>
      <c r="M124" s="1518"/>
      <c r="N124" s="1518"/>
      <c r="O124" s="1518"/>
    </row>
    <row r="125" spans="3:15"/>
    <row r="126" spans="3:15">
      <c r="C126" s="1518" t="s">
        <v>949</v>
      </c>
      <c r="D126" s="1518"/>
      <c r="E126" s="1518"/>
      <c r="F126" s="1518"/>
      <c r="G126" s="1518"/>
      <c r="H126" s="1518"/>
      <c r="I126" s="1518"/>
      <c r="J126" s="1518"/>
      <c r="K126" s="1518"/>
      <c r="L126" s="1518"/>
      <c r="M126" s="1518"/>
      <c r="N126" s="1518"/>
      <c r="O126" s="1518"/>
    </row>
    <row r="127" spans="3:15">
      <c r="C127" s="777"/>
      <c r="D127" s="777"/>
      <c r="E127" s="777"/>
      <c r="F127" s="777"/>
      <c r="G127" s="777"/>
      <c r="H127" s="777"/>
      <c r="I127" s="777"/>
      <c r="J127" s="777"/>
      <c r="K127" s="777"/>
      <c r="L127" s="777"/>
      <c r="M127" s="777"/>
      <c r="N127" s="777"/>
      <c r="O127" s="777"/>
    </row>
    <row r="128" spans="3:15" ht="13">
      <c r="C128" s="881" t="s">
        <v>554</v>
      </c>
      <c r="D128" s="777"/>
      <c r="E128" s="777"/>
      <c r="F128" s="777"/>
      <c r="G128" s="777"/>
      <c r="H128" s="777"/>
      <c r="I128" s="777"/>
      <c r="J128" s="777"/>
      <c r="K128" s="777"/>
      <c r="L128" s="777"/>
      <c r="M128" s="777"/>
      <c r="N128" s="777"/>
      <c r="O128" s="777"/>
    </row>
    <row r="129" spans="3:15">
      <c r="C129" s="1518" t="s">
        <v>555</v>
      </c>
      <c r="D129" s="1518"/>
      <c r="E129" s="1518"/>
      <c r="F129" s="1518"/>
      <c r="G129" s="1518"/>
      <c r="H129" s="1518"/>
      <c r="I129" s="1518"/>
      <c r="J129" s="1518"/>
      <c r="K129" s="1518"/>
      <c r="L129" s="1518"/>
      <c r="M129" s="1518"/>
      <c r="N129" s="1518"/>
      <c r="O129" s="1518"/>
    </row>
    <row r="130" spans="3:15">
      <c r="C130" s="1518"/>
      <c r="D130" s="1518"/>
      <c r="E130" s="1518"/>
      <c r="F130" s="1518"/>
      <c r="G130" s="1518"/>
      <c r="H130" s="1518"/>
      <c r="I130" s="1518"/>
      <c r="J130" s="1518"/>
      <c r="K130" s="1518"/>
      <c r="L130" s="1518"/>
      <c r="M130" s="1518"/>
      <c r="N130" s="1518"/>
      <c r="O130" s="1518"/>
    </row>
    <row r="131" spans="3:15">
      <c r="C131" s="1518"/>
      <c r="D131" s="1518"/>
      <c r="E131" s="1518"/>
      <c r="F131" s="1518"/>
      <c r="G131" s="1518"/>
      <c r="H131" s="1518"/>
      <c r="I131" s="1518"/>
      <c r="J131" s="1518"/>
      <c r="K131" s="1518"/>
      <c r="L131" s="1518"/>
      <c r="M131" s="1518"/>
      <c r="N131" s="1518"/>
      <c r="O131" s="1518"/>
    </row>
    <row r="132" spans="3:15">
      <c r="C132" s="777"/>
      <c r="D132" s="777"/>
      <c r="E132" s="777"/>
      <c r="F132" s="777"/>
      <c r="G132" s="777"/>
      <c r="H132" s="777"/>
      <c r="I132" s="777"/>
      <c r="J132" s="777"/>
      <c r="K132" s="777"/>
      <c r="L132" s="777"/>
      <c r="M132" s="777"/>
      <c r="N132" s="777"/>
      <c r="O132" s="777"/>
    </row>
    <row r="133" spans="3:15">
      <c r="C133" s="1518" t="s">
        <v>559</v>
      </c>
      <c r="D133" s="1518"/>
      <c r="E133" s="1518"/>
      <c r="F133" s="1518"/>
      <c r="G133" s="1518"/>
      <c r="H133" s="1518"/>
      <c r="I133" s="1518"/>
      <c r="J133" s="1518"/>
      <c r="K133" s="1518"/>
      <c r="L133" s="1518"/>
      <c r="M133" s="1518"/>
      <c r="N133" s="1518"/>
      <c r="O133" s="1518"/>
    </row>
    <row r="134" spans="3:15">
      <c r="C134" s="1518"/>
      <c r="D134" s="1518"/>
      <c r="E134" s="1518"/>
      <c r="F134" s="1518"/>
      <c r="G134" s="1518"/>
      <c r="H134" s="1518"/>
      <c r="I134" s="1518"/>
      <c r="J134" s="1518"/>
      <c r="K134" s="1518"/>
      <c r="L134" s="1518"/>
      <c r="M134" s="1518"/>
      <c r="N134" s="1518"/>
      <c r="O134" s="1518"/>
    </row>
    <row r="135" spans="3:15">
      <c r="C135" s="1518"/>
      <c r="D135" s="1518"/>
      <c r="E135" s="1518"/>
      <c r="F135" s="1518"/>
      <c r="G135" s="1518"/>
      <c r="H135" s="1518"/>
      <c r="I135" s="1518"/>
      <c r="J135" s="1518"/>
      <c r="K135" s="1518"/>
      <c r="L135" s="1518"/>
      <c r="M135" s="1518"/>
      <c r="N135" s="1518"/>
      <c r="O135" s="1518"/>
    </row>
    <row r="136" spans="3:15" ht="13" thickBot="1">
      <c r="C136" s="777"/>
      <c r="D136" s="777"/>
      <c r="E136" s="777"/>
      <c r="F136" s="777"/>
      <c r="G136" s="777"/>
      <c r="H136" s="777"/>
      <c r="I136" s="777"/>
      <c r="J136" s="777"/>
      <c r="K136" s="777"/>
      <c r="L136" s="777"/>
      <c r="M136" s="777"/>
      <c r="N136" s="777"/>
      <c r="O136" s="777"/>
    </row>
    <row r="137" spans="3:15" ht="13" thickTop="1">
      <c r="C137" s="891"/>
      <c r="D137" s="891" t="s">
        <v>1363</v>
      </c>
      <c r="E137" s="891" t="s">
        <v>1364</v>
      </c>
      <c r="F137" s="891" t="s">
        <v>1473</v>
      </c>
      <c r="G137" s="891" t="s">
        <v>1474</v>
      </c>
      <c r="H137" s="891" t="s">
        <v>1475</v>
      </c>
      <c r="I137" s="891" t="s">
        <v>1476</v>
      </c>
      <c r="J137" s="891" t="s">
        <v>497</v>
      </c>
      <c r="K137" s="891" t="s">
        <v>1511</v>
      </c>
      <c r="L137" s="777"/>
      <c r="M137" s="1506" t="str">
        <f ca="1">OFFSET(ad_first,OFFSET(ads_top,ROW(ads_fn_OFFSET)-1,5),0)</f>
        <v>Review how financial statements can be modelled in spreadsheets - attend one of our workshops</v>
      </c>
      <c r="N137" s="1507"/>
      <c r="O137" s="1508"/>
    </row>
    <row r="138" spans="3:15">
      <c r="C138" s="891">
        <v>1</v>
      </c>
      <c r="D138" s="1007" t="s">
        <v>556</v>
      </c>
      <c r="E138" s="893"/>
      <c r="F138" s="893"/>
      <c r="G138" s="893"/>
      <c r="H138" s="893"/>
      <c r="I138" s="893"/>
      <c r="J138" s="893"/>
      <c r="K138" s="893"/>
      <c r="L138" s="777"/>
      <c r="M138" s="1509"/>
      <c r="N138" s="1510"/>
      <c r="O138" s="1511"/>
    </row>
    <row r="139" spans="3:15">
      <c r="C139" s="891">
        <v>2</v>
      </c>
      <c r="D139" s="893"/>
      <c r="E139" s="893"/>
      <c r="F139" s="893"/>
      <c r="G139" s="893"/>
      <c r="H139" s="893"/>
      <c r="I139" s="893"/>
      <c r="J139" s="893"/>
      <c r="K139" s="893"/>
      <c r="L139" s="777"/>
      <c r="M139" s="1509"/>
      <c r="N139" s="1510"/>
      <c r="O139" s="1511"/>
    </row>
    <row r="140" spans="3:15">
      <c r="C140" s="891">
        <v>3</v>
      </c>
      <c r="D140" s="893"/>
      <c r="E140" s="893"/>
      <c r="F140" s="1725" t="s">
        <v>558</v>
      </c>
      <c r="G140" s="1726"/>
      <c r="H140" s="1726"/>
      <c r="I140" s="1727"/>
      <c r="J140" s="893"/>
      <c r="K140" s="893"/>
      <c r="L140" s="777"/>
      <c r="M140" s="1509"/>
      <c r="N140" s="1510"/>
      <c r="O140" s="1511"/>
    </row>
    <row r="141" spans="3:15" ht="13" thickBot="1">
      <c r="C141" s="781">
        <v>4</v>
      </c>
      <c r="D141" s="868"/>
      <c r="E141" s="868"/>
      <c r="F141" s="868"/>
      <c r="G141" s="868"/>
      <c r="H141" s="868"/>
      <c r="I141" s="868"/>
      <c r="J141" s="868"/>
      <c r="K141" s="868"/>
      <c r="M141" s="1512"/>
      <c r="N141" s="1513"/>
      <c r="O141" s="1514"/>
    </row>
    <row r="142" spans="3:15" ht="13" thickTop="1">
      <c r="C142" s="781">
        <v>5</v>
      </c>
      <c r="D142" s="868"/>
      <c r="E142" s="868"/>
      <c r="F142" s="868"/>
      <c r="G142" s="868"/>
      <c r="H142" s="868"/>
      <c r="I142" s="868"/>
      <c r="J142" s="1008" t="s">
        <v>557</v>
      </c>
      <c r="K142" s="868"/>
    </row>
    <row r="143" spans="3:15">
      <c r="C143" s="781">
        <v>6</v>
      </c>
      <c r="D143" s="868"/>
      <c r="E143" s="868"/>
      <c r="F143" s="868"/>
      <c r="G143" s="868"/>
      <c r="H143" s="868"/>
      <c r="I143" s="868"/>
      <c r="J143" s="868"/>
      <c r="K143" s="868"/>
    </row>
    <row r="144" spans="3:15">
      <c r="C144" s="781">
        <v>7</v>
      </c>
      <c r="D144" s="868"/>
      <c r="E144" s="868"/>
      <c r="F144" s="868"/>
      <c r="G144" s="868"/>
      <c r="H144" s="868"/>
      <c r="I144" s="868"/>
      <c r="J144" s="868"/>
      <c r="K144" s="868"/>
    </row>
    <row r="145" spans="3:15"/>
    <row r="146" spans="3:15">
      <c r="C146" s="1518" t="s">
        <v>560</v>
      </c>
      <c r="D146" s="1518"/>
      <c r="E146" s="1518"/>
      <c r="F146" s="1518"/>
      <c r="G146" s="1518"/>
      <c r="H146" s="1518"/>
      <c r="I146" s="1518"/>
      <c r="J146" s="1518"/>
      <c r="K146" s="1518"/>
      <c r="L146" s="1518"/>
      <c r="M146" s="1518"/>
      <c r="N146" s="1518"/>
      <c r="O146" s="1518"/>
    </row>
    <row r="147" spans="3:15">
      <c r="C147" s="1518"/>
      <c r="D147" s="1518"/>
      <c r="E147" s="1518"/>
      <c r="F147" s="1518"/>
      <c r="G147" s="1518"/>
      <c r="H147" s="1518"/>
      <c r="I147" s="1518"/>
      <c r="J147" s="1518"/>
      <c r="K147" s="1518"/>
      <c r="L147" s="1518"/>
      <c r="M147" s="1518"/>
      <c r="N147" s="1518"/>
      <c r="O147" s="1518"/>
    </row>
    <row r="148" spans="3:15">
      <c r="C148" s="777"/>
      <c r="D148" s="777"/>
      <c r="E148" s="777"/>
      <c r="F148" s="777"/>
      <c r="G148" s="777"/>
      <c r="H148" s="777"/>
      <c r="I148" s="777"/>
      <c r="J148" s="777"/>
      <c r="K148" s="777"/>
      <c r="L148" s="777"/>
      <c r="M148" s="777"/>
      <c r="N148" s="777"/>
      <c r="O148" s="777"/>
    </row>
    <row r="149" spans="3:15">
      <c r="C149" s="1518" t="s">
        <v>561</v>
      </c>
      <c r="D149" s="1518"/>
      <c r="E149" s="1518"/>
      <c r="F149" s="1518"/>
      <c r="G149" s="1518"/>
      <c r="H149" s="1518"/>
      <c r="I149" s="1518"/>
      <c r="J149" s="1518"/>
      <c r="K149" s="1518"/>
      <c r="L149" s="1518"/>
      <c r="M149" s="1518"/>
      <c r="N149" s="1518"/>
      <c r="O149" s="1518"/>
    </row>
    <row r="150" spans="3:15">
      <c r="C150" s="1518"/>
      <c r="D150" s="1518"/>
      <c r="E150" s="1518"/>
      <c r="F150" s="1518"/>
      <c r="G150" s="1518"/>
      <c r="H150" s="1518"/>
      <c r="I150" s="1518"/>
      <c r="J150" s="1518"/>
      <c r="K150" s="1518"/>
      <c r="L150" s="1518"/>
      <c r="M150" s="1518"/>
      <c r="N150" s="1518"/>
      <c r="O150" s="1518"/>
    </row>
    <row r="151" spans="3:15">
      <c r="C151" s="777"/>
      <c r="D151" s="777"/>
      <c r="E151" s="777"/>
      <c r="F151" s="777"/>
      <c r="G151" s="777"/>
      <c r="H151" s="777"/>
      <c r="I151" s="777"/>
      <c r="J151" s="777"/>
      <c r="K151" s="777"/>
      <c r="L151" s="777"/>
      <c r="M151" s="777"/>
      <c r="N151" s="777"/>
      <c r="O151" s="777"/>
    </row>
    <row r="152" spans="3:15">
      <c r="C152" s="1518" t="s">
        <v>562</v>
      </c>
      <c r="D152" s="1518"/>
      <c r="E152" s="1518"/>
      <c r="F152" s="1518"/>
      <c r="G152" s="1518"/>
      <c r="H152" s="1518"/>
      <c r="I152" s="1518"/>
      <c r="J152" s="1518"/>
      <c r="K152" s="1518"/>
      <c r="L152" s="1518"/>
      <c r="M152" s="1518"/>
      <c r="N152" s="1518"/>
      <c r="O152" s="1518"/>
    </row>
    <row r="153" spans="3:15">
      <c r="C153" s="1518"/>
      <c r="D153" s="1518"/>
      <c r="E153" s="1518"/>
      <c r="F153" s="1518"/>
      <c r="G153" s="1518"/>
      <c r="H153" s="1518"/>
      <c r="I153" s="1518"/>
      <c r="J153" s="1518"/>
      <c r="K153" s="1518"/>
      <c r="L153" s="1518"/>
      <c r="M153" s="1518"/>
      <c r="N153" s="1518"/>
      <c r="O153" s="1518"/>
    </row>
    <row r="154" spans="3:15">
      <c r="C154" s="777" t="s">
        <v>563</v>
      </c>
      <c r="D154" s="777"/>
      <c r="E154" s="777"/>
      <c r="F154" s="777"/>
      <c r="G154" s="777"/>
      <c r="H154" s="777"/>
      <c r="I154" s="777"/>
      <c r="J154" s="777"/>
      <c r="K154" s="777"/>
      <c r="L154" s="777"/>
      <c r="M154" s="777"/>
      <c r="N154" s="777"/>
      <c r="O154" s="777"/>
    </row>
    <row r="155" spans="3:15">
      <c r="C155" s="777"/>
      <c r="D155" s="777"/>
      <c r="E155" s="777"/>
      <c r="F155" s="777"/>
      <c r="G155" s="777"/>
      <c r="H155" s="777"/>
      <c r="I155" s="777"/>
      <c r="J155" s="777"/>
      <c r="K155" s="777"/>
      <c r="L155" s="777"/>
      <c r="M155" s="777"/>
      <c r="N155" s="777"/>
      <c r="O155" s="777"/>
    </row>
    <row r="156" spans="3:15">
      <c r="C156" s="891"/>
      <c r="D156" s="891" t="s">
        <v>1363</v>
      </c>
      <c r="E156" s="891" t="s">
        <v>1364</v>
      </c>
      <c r="F156" s="891" t="s">
        <v>1473</v>
      </c>
      <c r="G156" s="891" t="s">
        <v>1474</v>
      </c>
      <c r="H156" s="891" t="s">
        <v>1475</v>
      </c>
      <c r="I156" s="891" t="s">
        <v>1476</v>
      </c>
      <c r="J156" s="891" t="s">
        <v>497</v>
      </c>
      <c r="K156" s="891" t="s">
        <v>1511</v>
      </c>
      <c r="L156" s="892"/>
      <c r="M156" s="777"/>
      <c r="N156" s="777"/>
      <c r="O156" s="777"/>
    </row>
    <row r="157" spans="3:15" ht="13" thickBot="1">
      <c r="C157" s="891">
        <v>1</v>
      </c>
      <c r="D157" s="893"/>
      <c r="E157" s="893"/>
      <c r="F157" s="894"/>
      <c r="G157" s="893"/>
      <c r="H157" s="893"/>
      <c r="I157" s="893"/>
      <c r="J157" s="893"/>
      <c r="K157" s="893"/>
      <c r="L157" s="716"/>
      <c r="M157" s="777"/>
      <c r="N157" s="777"/>
      <c r="O157" s="777"/>
    </row>
    <row r="158" spans="3:15" ht="13" thickBot="1">
      <c r="C158" s="891">
        <v>2</v>
      </c>
      <c r="D158" s="893"/>
      <c r="E158" s="895"/>
      <c r="F158" s="896">
        <v>1</v>
      </c>
      <c r="G158" s="897">
        <v>2</v>
      </c>
      <c r="H158" s="893"/>
      <c r="I158" s="893"/>
      <c r="J158" s="893"/>
      <c r="K158" s="893"/>
      <c r="L158" s="716"/>
      <c r="M158" s="777"/>
      <c r="N158" s="777"/>
      <c r="O158" s="777"/>
    </row>
    <row r="159" spans="3:15">
      <c r="C159" s="891">
        <v>3</v>
      </c>
      <c r="D159" s="893"/>
      <c r="E159" s="893"/>
      <c r="F159" s="898">
        <v>8</v>
      </c>
      <c r="G159" s="893">
        <v>16</v>
      </c>
      <c r="H159" s="893"/>
      <c r="I159" s="893"/>
      <c r="J159" s="893"/>
      <c r="K159" s="893"/>
      <c r="L159" s="716"/>
      <c r="M159" s="777"/>
      <c r="N159" s="777"/>
      <c r="O159" s="777"/>
    </row>
    <row r="160" spans="3:15">
      <c r="C160" s="891">
        <v>4</v>
      </c>
      <c r="D160" s="893"/>
      <c r="E160" s="893"/>
      <c r="F160" s="893"/>
      <c r="G160" s="893"/>
      <c r="H160" s="893"/>
      <c r="I160" s="893"/>
      <c r="J160" s="893"/>
      <c r="K160" s="893"/>
      <c r="L160" s="716"/>
      <c r="M160" s="777"/>
      <c r="N160" s="777"/>
      <c r="O160" s="777"/>
    </row>
    <row r="161" spans="3:15">
      <c r="C161" s="891">
        <v>5</v>
      </c>
      <c r="D161" s="899">
        <f ca="1">SUM(OFFSET($F$158,0,0,1,1))</f>
        <v>1</v>
      </c>
      <c r="E161" s="1038" t="s">
        <v>1233</v>
      </c>
      <c r="F161" s="893"/>
      <c r="G161" s="893"/>
      <c r="H161" s="893"/>
      <c r="I161" s="893"/>
      <c r="J161" s="893"/>
      <c r="K161" s="893"/>
      <c r="L161" s="716"/>
      <c r="M161" s="777"/>
      <c r="N161" s="777"/>
      <c r="O161" s="777"/>
    </row>
    <row r="162" spans="3:15">
      <c r="C162" s="891">
        <v>6</v>
      </c>
      <c r="D162" s="899">
        <f ca="1">SUM(OFFSET($F$158,0,0,1,2))</f>
        <v>3</v>
      </c>
      <c r="E162" s="1038" t="s">
        <v>1234</v>
      </c>
      <c r="F162" s="893"/>
      <c r="G162" s="893"/>
      <c r="H162" s="893"/>
      <c r="I162" s="893"/>
      <c r="J162" s="893"/>
      <c r="K162" s="893"/>
      <c r="L162" s="716"/>
      <c r="M162" s="777"/>
      <c r="N162" s="777"/>
      <c r="O162" s="777"/>
    </row>
    <row r="163" spans="3:15">
      <c r="C163" s="891">
        <v>7</v>
      </c>
      <c r="D163" s="899">
        <f ca="1">SUM(OFFSET($F$158,0,0,2,1))</f>
        <v>9</v>
      </c>
      <c r="E163" s="1038" t="s">
        <v>1235</v>
      </c>
      <c r="F163" s="893"/>
      <c r="G163" s="893"/>
      <c r="H163" s="893"/>
      <c r="I163" s="893"/>
      <c r="J163" s="893"/>
      <c r="K163" s="893"/>
      <c r="L163" s="716"/>
      <c r="M163" s="777"/>
      <c r="N163" s="777"/>
      <c r="O163" s="777"/>
    </row>
    <row r="164" spans="3:15">
      <c r="C164" s="891">
        <v>8</v>
      </c>
      <c r="D164" s="899">
        <f ca="1">SUM(OFFSET($F$158,0,0,2,2))</f>
        <v>27</v>
      </c>
      <c r="E164" s="1038" t="s">
        <v>1236</v>
      </c>
      <c r="F164" s="893"/>
      <c r="G164" s="893"/>
      <c r="H164" s="893"/>
      <c r="I164" s="893"/>
      <c r="J164" s="893"/>
      <c r="K164" s="893"/>
      <c r="L164" s="716"/>
      <c r="M164" s="777"/>
      <c r="N164" s="777"/>
      <c r="O164" s="777"/>
    </row>
    <row r="165" spans="3:15">
      <c r="C165" s="891">
        <v>9</v>
      </c>
      <c r="D165" s="893"/>
      <c r="E165" s="893"/>
      <c r="F165" s="893"/>
      <c r="G165" s="893"/>
      <c r="H165" s="893"/>
      <c r="I165" s="893"/>
      <c r="J165" s="893"/>
      <c r="K165" s="893"/>
      <c r="L165" s="716"/>
      <c r="M165" s="777"/>
      <c r="N165" s="777"/>
      <c r="O165" s="777"/>
    </row>
    <row r="166" spans="3:15"/>
    <row r="167" spans="3:15">
      <c r="C167" s="1518" t="s">
        <v>1037</v>
      </c>
      <c r="D167" s="1518"/>
      <c r="E167" s="1518"/>
      <c r="F167" s="1518"/>
      <c r="G167" s="1518"/>
      <c r="H167" s="1518"/>
      <c r="I167" s="1518"/>
      <c r="J167" s="1518"/>
      <c r="K167" s="1518"/>
      <c r="L167" s="1518"/>
      <c r="M167" s="1518"/>
      <c r="N167" s="1518"/>
      <c r="O167" s="1518"/>
    </row>
    <row r="168" spans="3:15">
      <c r="C168" s="1518"/>
      <c r="D168" s="1518"/>
      <c r="E168" s="1518"/>
      <c r="F168" s="1518"/>
      <c r="G168" s="1518"/>
      <c r="H168" s="1518"/>
      <c r="I168" s="1518"/>
      <c r="J168" s="1518"/>
      <c r="K168" s="1518"/>
      <c r="L168" s="1518"/>
      <c r="M168" s="1518"/>
      <c r="N168" s="1518"/>
      <c r="O168" s="1518"/>
    </row>
    <row r="169" spans="3:15"/>
    <row r="170" spans="3:15">
      <c r="C170" s="1518" t="s">
        <v>1038</v>
      </c>
      <c r="D170" s="1518"/>
      <c r="E170" s="1518"/>
      <c r="F170" s="1518"/>
      <c r="G170" s="1518"/>
      <c r="H170" s="1518"/>
      <c r="I170" s="1518"/>
      <c r="J170" s="1518"/>
      <c r="K170" s="1518"/>
      <c r="L170" s="1518"/>
      <c r="M170" s="1518"/>
      <c r="N170" s="1518"/>
      <c r="O170" s="1518"/>
    </row>
    <row r="171" spans="3:15">
      <c r="C171" s="1518"/>
      <c r="D171" s="1518"/>
      <c r="E171" s="1518"/>
      <c r="F171" s="1518"/>
      <c r="G171" s="1518"/>
      <c r="H171" s="1518"/>
      <c r="I171" s="1518"/>
      <c r="J171" s="1518"/>
      <c r="K171" s="1518"/>
      <c r="L171" s="1518"/>
      <c r="M171" s="1518"/>
      <c r="N171" s="1518"/>
      <c r="O171" s="1518"/>
    </row>
    <row r="172" spans="3:15">
      <c r="C172" s="1518"/>
      <c r="D172" s="1518"/>
      <c r="E172" s="1518"/>
      <c r="F172" s="1518"/>
      <c r="G172" s="1518"/>
      <c r="H172" s="1518"/>
      <c r="I172" s="1518"/>
      <c r="J172" s="1518"/>
      <c r="K172" s="1518"/>
      <c r="L172" s="1518"/>
      <c r="M172" s="1518"/>
      <c r="N172" s="1518"/>
      <c r="O172" s="1518"/>
    </row>
    <row r="173" spans="3:15"/>
    <row r="174" spans="3:15" ht="13" thickBot="1">
      <c r="C174" s="781"/>
      <c r="D174" s="781" t="s">
        <v>1363</v>
      </c>
      <c r="E174" s="781" t="s">
        <v>1364</v>
      </c>
      <c r="F174" s="782" t="s">
        <v>1473</v>
      </c>
      <c r="G174" s="781" t="s">
        <v>1474</v>
      </c>
      <c r="H174" s="781" t="s">
        <v>1475</v>
      </c>
      <c r="I174" s="781" t="s">
        <v>1476</v>
      </c>
      <c r="J174" s="781" t="s">
        <v>497</v>
      </c>
      <c r="K174" s="781" t="s">
        <v>1511</v>
      </c>
      <c r="L174" s="781" t="s">
        <v>1512</v>
      </c>
    </row>
    <row r="175" spans="3:15" ht="13" thickBot="1">
      <c r="C175" s="781">
        <v>1</v>
      </c>
      <c r="D175" s="868" t="s">
        <v>583</v>
      </c>
      <c r="E175" s="875"/>
      <c r="F175" s="981">
        <v>2</v>
      </c>
      <c r="G175" s="858"/>
      <c r="H175" s="868"/>
      <c r="I175" s="868"/>
      <c r="J175" s="868"/>
      <c r="K175" s="868"/>
      <c r="L175" s="868"/>
    </row>
    <row r="176" spans="3:15">
      <c r="C176" s="781">
        <v>2</v>
      </c>
      <c r="D176" s="868"/>
      <c r="E176" s="868"/>
      <c r="F176" s="1087"/>
      <c r="G176" s="781"/>
      <c r="H176" s="868"/>
      <c r="I176" s="868"/>
      <c r="J176" s="868"/>
      <c r="K176" s="868"/>
      <c r="L176" s="868"/>
    </row>
    <row r="177" spans="3:15">
      <c r="C177" s="781">
        <v>3</v>
      </c>
      <c r="D177" s="781" t="s">
        <v>584</v>
      </c>
      <c r="E177" s="781" t="s">
        <v>1537</v>
      </c>
      <c r="F177" s="868"/>
      <c r="G177" s="868" t="s">
        <v>585</v>
      </c>
      <c r="H177" s="868"/>
      <c r="I177" s="868"/>
      <c r="J177" s="868"/>
      <c r="K177" s="868"/>
      <c r="L177" s="868"/>
    </row>
    <row r="178" spans="3:15">
      <c r="C178" s="781">
        <v>4</v>
      </c>
      <c r="D178" s="1079">
        <v>40179</v>
      </c>
      <c r="E178" s="888">
        <v>100</v>
      </c>
      <c r="F178" s="1080"/>
      <c r="G178" s="1081"/>
      <c r="H178" s="868"/>
      <c r="I178" s="868"/>
      <c r="J178" s="868"/>
      <c r="K178" s="868"/>
      <c r="L178" s="868"/>
    </row>
    <row r="179" spans="3:15">
      <c r="C179" s="781">
        <v>5</v>
      </c>
      <c r="D179" s="1079">
        <v>40180</v>
      </c>
      <c r="E179" s="888">
        <v>10</v>
      </c>
      <c r="F179" s="1080"/>
      <c r="G179" s="1081"/>
      <c r="H179" s="868"/>
      <c r="I179" s="868"/>
      <c r="J179" s="868"/>
      <c r="K179" s="868"/>
      <c r="L179" s="868"/>
    </row>
    <row r="180" spans="3:15" ht="13" thickBot="1">
      <c r="C180" s="781">
        <v>6</v>
      </c>
      <c r="D180" s="1079">
        <v>40181</v>
      </c>
      <c r="E180" s="1082">
        <v>20</v>
      </c>
      <c r="F180" s="1080"/>
      <c r="G180" s="1081"/>
      <c r="H180" s="868"/>
      <c r="I180" s="868"/>
      <c r="J180" s="868"/>
      <c r="K180" s="868"/>
      <c r="L180" s="868"/>
    </row>
    <row r="181" spans="3:15" ht="13" thickBot="1">
      <c r="C181" s="781">
        <v>7</v>
      </c>
      <c r="D181" s="1085">
        <v>40182</v>
      </c>
      <c r="E181" s="890">
        <v>40</v>
      </c>
      <c r="F181" s="1086"/>
      <c r="G181" s="1083">
        <f ca="1">AVERAGE(OFFSET(E181,0,0,-($F$175-1),1))</f>
        <v>40</v>
      </c>
      <c r="H181" s="1036" t="s">
        <v>1237</v>
      </c>
      <c r="I181" s="868"/>
      <c r="J181" s="868"/>
      <c r="K181" s="868"/>
      <c r="L181" s="868"/>
    </row>
    <row r="182" spans="3:15">
      <c r="C182" s="781">
        <v>8</v>
      </c>
      <c r="D182" s="1079">
        <v>40183</v>
      </c>
      <c r="E182" s="1084">
        <v>60</v>
      </c>
      <c r="F182" s="1080"/>
      <c r="G182" s="1083">
        <f ca="1">AVERAGE(OFFSET(E182,0,0,-($F$175-1),1))</f>
        <v>60</v>
      </c>
      <c r="H182" s="810" t="s">
        <v>950</v>
      </c>
      <c r="I182" s="868"/>
      <c r="J182" s="868"/>
      <c r="K182" s="868"/>
      <c r="L182" s="868"/>
    </row>
    <row r="183" spans="3:15">
      <c r="C183" s="781">
        <v>9</v>
      </c>
      <c r="D183" s="1079">
        <v>40184</v>
      </c>
      <c r="E183" s="888">
        <v>80</v>
      </c>
      <c r="F183" s="1080"/>
      <c r="G183" s="1083">
        <f ca="1">AVERAGE(OFFSET(E183,0,0,-($F$175-1),1))</f>
        <v>80</v>
      </c>
      <c r="H183" s="1036" t="s">
        <v>951</v>
      </c>
      <c r="I183" s="868"/>
      <c r="J183" s="868"/>
      <c r="K183" s="868"/>
      <c r="L183" s="868"/>
    </row>
    <row r="184" spans="3:15"/>
    <row r="185" spans="3:15" customFormat="1">
      <c r="C185" s="1697" t="str">
        <f>back_to_index</f>
        <v>Back to contents</v>
      </c>
      <c r="D185" s="1697"/>
      <c r="G185" s="1674" t="str">
        <f>page_prefix &amp; page_fn_OFFSET&amp; page_suffix</f>
        <v>- Page 34 -</v>
      </c>
      <c r="H185" s="1674"/>
      <c r="I185" s="1674"/>
      <c r="J185" s="1703"/>
      <c r="K185" s="1703"/>
      <c r="M185" s="22"/>
      <c r="N185" s="1673" t="str">
        <f>back_to_top</f>
        <v>Back to top</v>
      </c>
      <c r="O185" s="1673"/>
    </row>
    <row r="186" spans="3:15" customFormat="1">
      <c r="G186" s="1674" t="str">
        <f>copyright</f>
        <v>Copyright (c) 2009 Tykoh Group Pty Limited</v>
      </c>
      <c r="H186" s="1674"/>
      <c r="I186" s="1674"/>
      <c r="J186" s="1703"/>
      <c r="K186" s="1703"/>
    </row>
    <row r="187" spans="3:15" customFormat="1">
      <c r="G187" s="1452" t="str">
        <f>home_address</f>
        <v>www.tykoh.com</v>
      </c>
      <c r="H187" s="1452"/>
      <c r="I187" s="1452"/>
      <c r="J187" s="1452"/>
      <c r="K187" s="1452"/>
    </row>
    <row r="188" spans="3:15"/>
  </sheetData>
  <sheetProtection algorithmName="SHA-512" hashValue="ajiW1LrGPciw3xJktdfiM5siuroUddW2qmJxjGNa+KAS7Lldx+6MNz7ZFyWjl7nhLADXxucq/ICH3C6qQX9aMA==" saltValue="UqaUmAhy5u1/ubmUaMsOPg==" spinCount="100000" sheet="1" objects="1" scenarios="1"/>
  <mergeCells count="31">
    <mergeCell ref="G185:K185"/>
    <mergeCell ref="G186:K186"/>
    <mergeCell ref="G187:K187"/>
    <mergeCell ref="N185:O185"/>
    <mergeCell ref="C111:O113"/>
    <mergeCell ref="C115:O124"/>
    <mergeCell ref="C126:O126"/>
    <mergeCell ref="C185:D185"/>
    <mergeCell ref="C129:O131"/>
    <mergeCell ref="C152:O153"/>
    <mergeCell ref="C167:O168"/>
    <mergeCell ref="C170:O172"/>
    <mergeCell ref="C133:O135"/>
    <mergeCell ref="F140:I140"/>
    <mergeCell ref="C146:O147"/>
    <mergeCell ref="C149:O150"/>
    <mergeCell ref="C5:L8"/>
    <mergeCell ref="M4:O8"/>
    <mergeCell ref="M44:O48"/>
    <mergeCell ref="M82:O86"/>
    <mergeCell ref="M137:O141"/>
    <mergeCell ref="E17:H17"/>
    <mergeCell ref="C32:O43"/>
    <mergeCell ref="C26:O28"/>
    <mergeCell ref="C53:O56"/>
    <mergeCell ref="C96:O98"/>
    <mergeCell ref="C58:O62"/>
    <mergeCell ref="C79:O80"/>
    <mergeCell ref="C74:O75"/>
    <mergeCell ref="M64:O68"/>
    <mergeCell ref="C10:O12"/>
  </mergeCells>
  <phoneticPr fontId="2" type="noConversion"/>
  <conditionalFormatting sqref="D18:H23">
    <cfRule type="expression" dxfId="35" priority="1" stopIfTrue="1">
      <formula>$M$20=$C19</formula>
    </cfRule>
  </conditionalFormatting>
  <conditionalFormatting sqref="F86:H88">
    <cfRule type="expression" dxfId="34" priority="2" stopIfTrue="1">
      <formula>F$86=$F$83</formula>
    </cfRule>
  </conditionalFormatting>
  <conditionalFormatting sqref="E179">
    <cfRule type="expression" dxfId="33" priority="3" stopIfTrue="1">
      <formula>$F$175&gt;=3</formula>
    </cfRule>
  </conditionalFormatting>
  <conditionalFormatting sqref="E178">
    <cfRule type="expression" dxfId="32" priority="4" stopIfTrue="1">
      <formula>$F$175&gt;=4</formula>
    </cfRule>
  </conditionalFormatting>
  <conditionalFormatting sqref="E105">
    <cfRule type="expression" dxfId="31" priority="5" stopIfTrue="1">
      <formula>$F$101&gt;=3</formula>
    </cfRule>
  </conditionalFormatting>
  <conditionalFormatting sqref="E104">
    <cfRule type="expression" dxfId="30" priority="6" stopIfTrue="1">
      <formula>$F$101&gt;=4</formula>
    </cfRule>
  </conditionalFormatting>
  <dataValidations count="2">
    <dataValidation type="list" allowBlank="1" showInputMessage="1" showErrorMessage="1" sqref="F175 F101" xr:uid="{00000000-0002-0000-2E00-000000000000}">
      <formula1>"2,3,4"</formula1>
    </dataValidation>
    <dataValidation type="list" allowBlank="1" showInputMessage="1" showErrorMessage="1" sqref="F83" xr:uid="{00000000-0002-0000-2E00-000001000000}">
      <formula1>"1,2,3"</formula1>
    </dataValidation>
  </dataValidations>
  <hyperlinks>
    <hyperlink ref="N185:O185" location="hh_fn_OFFSET" display="hh_fn_OFFSET" xr:uid="{00000000-0004-0000-2E00-000000000000}"/>
    <hyperlink ref="C185:D185" location="hh_index" display="hh_index" xr:uid="{00000000-0004-0000-2E00-000001000000}"/>
    <hyperlink ref="G187:K187" r:id="rId1" display="https://www.tykoh.com/" xr:uid="{00000000-0004-0000-2E00-000002000000}"/>
  </hyperlinks>
  <pageMargins left="0.75" right="0.75" top="1" bottom="1" header="0.5" footer="0.5"/>
  <pageSetup scale="74" fitToHeight="3" orientation="portrait" r:id="rId2"/>
  <headerFooter alignWithMargins="0"/>
  <rowBreaks count="1" manualBreakCount="1">
    <brk id="63"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66561" r:id="rId5" name="Drop Down 1">
              <controlPr defaultSize="0" autoLine="0" autoPict="0">
                <anchor moveWithCells="1">
                  <from>
                    <xdr:col>4</xdr:col>
                    <xdr:colOff>488950</xdr:colOff>
                    <xdr:row>14</xdr:row>
                    <xdr:rowOff>19050</xdr:rowOff>
                  </from>
                  <to>
                    <xdr:col>6</xdr:col>
                    <xdr:colOff>203200</xdr:colOff>
                    <xdr:row>14</xdr:row>
                    <xdr:rowOff>222250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1">
    <pageSetUpPr fitToPage="1"/>
  </sheetPr>
  <dimension ref="C1:O75"/>
  <sheetViews>
    <sheetView showGridLines="0" showRowColHeaders="0" topLeftCell="A64" workbookViewId="0">
      <selection activeCell="G74" sqref="G74:K74"/>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952</v>
      </c>
    </row>
    <row r="4" spans="3:15" ht="13" thickTop="1">
      <c r="M4" s="1545" t="str">
        <f ca="1">OFFSET(ad_first,OFFSET(ads_top,ROW(ads_fn_SUM)-1,1),0)</f>
        <v>Learn how Visual Basic functions can be written and accessed from spreadsheet formulae - attend one of our workshops</v>
      </c>
      <c r="N4" s="1689"/>
      <c r="O4" s="1690"/>
    </row>
    <row r="5" spans="3:15">
      <c r="C5" s="1585" t="s">
        <v>745</v>
      </c>
      <c r="D5" s="1585"/>
      <c r="E5" s="1585"/>
      <c r="F5" s="1585"/>
      <c r="G5" s="1585"/>
      <c r="H5" s="1585"/>
      <c r="I5" s="1585"/>
      <c r="J5" s="1585"/>
      <c r="K5" s="1585"/>
      <c r="L5" s="776"/>
      <c r="M5" s="1691"/>
      <c r="N5" s="1692"/>
      <c r="O5" s="1693"/>
    </row>
    <row r="6" spans="3:15">
      <c r="C6" s="1585"/>
      <c r="D6" s="1585"/>
      <c r="E6" s="1585"/>
      <c r="F6" s="1585"/>
      <c r="G6" s="1585"/>
      <c r="H6" s="1585"/>
      <c r="I6" s="1585"/>
      <c r="J6" s="1585"/>
      <c r="K6" s="1585"/>
      <c r="L6" s="776"/>
      <c r="M6" s="1691"/>
      <c r="N6" s="1692"/>
      <c r="O6" s="1693"/>
    </row>
    <row r="7" spans="3:15">
      <c r="C7" s="1585"/>
      <c r="D7" s="1585"/>
      <c r="E7" s="1585"/>
      <c r="F7" s="1585"/>
      <c r="G7" s="1585"/>
      <c r="H7" s="1585"/>
      <c r="I7" s="1585"/>
      <c r="J7" s="1585"/>
      <c r="K7" s="1585"/>
      <c r="L7" s="776"/>
      <c r="M7" s="1691"/>
      <c r="N7" s="1692"/>
      <c r="O7" s="1693"/>
    </row>
    <row r="8" spans="3:15" ht="13" thickBot="1">
      <c r="M8" s="1694"/>
      <c r="N8" s="1695"/>
      <c r="O8" s="1696"/>
    </row>
    <row r="9" spans="3:15" ht="6.75" customHeight="1" thickTop="1">
      <c r="M9" s="1331"/>
      <c r="N9" s="1331"/>
      <c r="O9" s="1331"/>
    </row>
    <row r="10" spans="3:15">
      <c r="C10" s="857"/>
      <c r="D10" s="857" t="s">
        <v>1363</v>
      </c>
      <c r="E10" s="857" t="s">
        <v>1364</v>
      </c>
      <c r="F10" s="857" t="s">
        <v>1473</v>
      </c>
      <c r="G10" s="857" t="s">
        <v>1474</v>
      </c>
      <c r="H10" s="857" t="s">
        <v>1475</v>
      </c>
      <c r="I10" s="857" t="s">
        <v>1476</v>
      </c>
      <c r="J10" s="857" t="s">
        <v>497</v>
      </c>
      <c r="K10" s="328"/>
      <c r="L10" s="328"/>
    </row>
    <row r="11" spans="3:15" ht="13" thickBot="1">
      <c r="C11" s="857">
        <v>1</v>
      </c>
      <c r="D11" s="791"/>
      <c r="E11" s="958"/>
      <c r="F11" s="791"/>
      <c r="G11" s="791"/>
      <c r="H11" s="791"/>
      <c r="I11" s="791"/>
      <c r="J11" s="791"/>
      <c r="K11" s="1315"/>
      <c r="L11" s="1315"/>
    </row>
    <row r="12" spans="3:15" ht="13" thickBot="1">
      <c r="C12" s="857">
        <v>2</v>
      </c>
      <c r="D12" s="1018" t="s">
        <v>953</v>
      </c>
      <c r="E12" s="1019">
        <v>5</v>
      </c>
      <c r="F12" s="809"/>
      <c r="G12" s="791"/>
      <c r="H12" s="791"/>
      <c r="I12" s="791"/>
      <c r="J12" s="791"/>
      <c r="K12" s="1315"/>
      <c r="L12" s="1315"/>
    </row>
    <row r="13" spans="3:15" ht="13" thickBot="1">
      <c r="C13" s="857">
        <v>3</v>
      </c>
      <c r="D13" s="791"/>
      <c r="E13" s="957"/>
      <c r="F13" s="791"/>
      <c r="G13" s="791"/>
      <c r="H13" s="791"/>
      <c r="I13" s="791"/>
      <c r="J13" s="791"/>
      <c r="K13" s="1315"/>
      <c r="L13" s="1315"/>
    </row>
    <row r="14" spans="3:15" ht="13" thickBot="1">
      <c r="C14" s="857">
        <v>4</v>
      </c>
      <c r="D14" s="1018" t="s">
        <v>954</v>
      </c>
      <c r="E14" s="1016">
        <v>3</v>
      </c>
      <c r="F14" s="809"/>
      <c r="G14" s="791"/>
      <c r="H14" s="791"/>
      <c r="I14" s="791"/>
      <c r="J14" s="791"/>
      <c r="K14" s="1315"/>
      <c r="L14" s="1315"/>
    </row>
    <row r="15" spans="3:15">
      <c r="C15" s="857">
        <v>5</v>
      </c>
      <c r="D15" s="791"/>
      <c r="E15" s="963"/>
      <c r="F15" s="791"/>
      <c r="G15" s="791"/>
      <c r="H15" s="791"/>
      <c r="I15" s="791"/>
      <c r="J15" s="791"/>
      <c r="K15" s="1315"/>
      <c r="L15" s="1315"/>
    </row>
    <row r="16" spans="3:15">
      <c r="C16" s="857">
        <v>6</v>
      </c>
      <c r="D16" s="791" t="s">
        <v>955</v>
      </c>
      <c r="E16" s="791">
        <f>SUM(E12,E14, 4)</f>
        <v>12</v>
      </c>
      <c r="F16" s="900" t="s">
        <v>744</v>
      </c>
      <c r="G16" s="791"/>
      <c r="H16" s="791"/>
      <c r="I16" s="791"/>
      <c r="J16" s="791"/>
      <c r="K16" s="1315"/>
      <c r="L16" s="1315"/>
    </row>
    <row r="17" spans="3:15">
      <c r="C17" s="857">
        <v>7</v>
      </c>
      <c r="D17" s="791"/>
      <c r="E17" s="791"/>
      <c r="F17" s="791"/>
      <c r="G17" s="791"/>
      <c r="H17" s="791"/>
      <c r="I17" s="791"/>
      <c r="J17" s="791"/>
      <c r="K17" s="1315"/>
      <c r="L17" s="1315"/>
    </row>
    <row r="18" spans="3:15"/>
    <row r="19" spans="3:15">
      <c r="C19" s="1585" t="s">
        <v>746</v>
      </c>
      <c r="D19" s="1585"/>
      <c r="E19" s="1585"/>
      <c r="F19" s="1585"/>
      <c r="G19" s="1585"/>
      <c r="H19" s="1585"/>
      <c r="I19" s="1585"/>
      <c r="J19" s="1585"/>
      <c r="K19" s="1585"/>
      <c r="L19" s="1585"/>
      <c r="M19" s="1585"/>
      <c r="N19" s="1585"/>
      <c r="O19" s="1585"/>
    </row>
    <row r="20" spans="3:15">
      <c r="C20" s="1585"/>
      <c r="D20" s="1585"/>
      <c r="E20" s="1585"/>
      <c r="F20" s="1585"/>
      <c r="G20" s="1585"/>
      <c r="H20" s="1585"/>
      <c r="I20" s="1585"/>
      <c r="J20" s="1585"/>
      <c r="K20" s="1585"/>
      <c r="L20" s="1585"/>
      <c r="M20" s="1585"/>
      <c r="N20" s="1585"/>
      <c r="O20" s="1585"/>
    </row>
    <row r="21" spans="3:15" ht="13" thickBot="1"/>
    <row r="22" spans="3:15" ht="13" thickTop="1">
      <c r="C22" s="857"/>
      <c r="D22" s="857" t="s">
        <v>1363</v>
      </c>
      <c r="E22" s="857" t="s">
        <v>1364</v>
      </c>
      <c r="F22" s="857" t="s">
        <v>1473</v>
      </c>
      <c r="G22" s="857" t="s">
        <v>1474</v>
      </c>
      <c r="H22" s="857" t="s">
        <v>1475</v>
      </c>
      <c r="I22" s="857" t="s">
        <v>1476</v>
      </c>
      <c r="J22" s="857" t="s">
        <v>497</v>
      </c>
      <c r="K22" s="328"/>
      <c r="L22" s="328"/>
      <c r="M22" s="1545" t="str">
        <f ca="1">OFFSET(ad_first,OFFSET(ads_top,ROW(ads_fn_SUM)-1,2),0)</f>
        <v>Learn how to use iteration, goal-seeking, the solver and optimisation to solve problems that are too complex to solve in a single step.</v>
      </c>
      <c r="N22" s="1689"/>
      <c r="O22" s="1690"/>
    </row>
    <row r="23" spans="3:15" ht="13" thickBot="1">
      <c r="C23" s="857">
        <v>1</v>
      </c>
      <c r="D23" s="791"/>
      <c r="E23" s="958"/>
      <c r="F23" s="958"/>
      <c r="G23" s="958"/>
      <c r="H23" s="791"/>
      <c r="I23" s="791"/>
      <c r="J23" s="791"/>
      <c r="K23" s="1315"/>
      <c r="L23" s="1315"/>
      <c r="M23" s="1691"/>
      <c r="N23" s="1692"/>
      <c r="O23" s="1693"/>
    </row>
    <row r="24" spans="3:15" ht="13" thickBot="1">
      <c r="C24" s="857">
        <v>2</v>
      </c>
      <c r="D24" s="1018" t="s">
        <v>737</v>
      </c>
      <c r="E24" s="1020">
        <v>1</v>
      </c>
      <c r="F24" s="1017">
        <v>2</v>
      </c>
      <c r="G24" s="1021">
        <v>4</v>
      </c>
      <c r="H24" s="809"/>
      <c r="I24" s="791"/>
      <c r="J24" s="791"/>
      <c r="K24" s="1315"/>
      <c r="L24" s="1315"/>
      <c r="M24" s="1691"/>
      <c r="N24" s="1692"/>
      <c r="O24" s="1693"/>
    </row>
    <row r="25" spans="3:15" ht="13" thickBot="1">
      <c r="C25" s="857">
        <v>3</v>
      </c>
      <c r="D25" s="791"/>
      <c r="E25" s="957"/>
      <c r="F25" s="957"/>
      <c r="G25" s="963"/>
      <c r="H25" s="791"/>
      <c r="I25" s="791"/>
      <c r="J25" s="791"/>
      <c r="K25" s="1315"/>
      <c r="L25" s="1315"/>
      <c r="M25" s="1691"/>
      <c r="N25" s="1692"/>
      <c r="O25" s="1693"/>
    </row>
    <row r="26" spans="3:15" ht="13" thickBot="1">
      <c r="C26" s="857">
        <v>4</v>
      </c>
      <c r="D26" s="1018" t="s">
        <v>738</v>
      </c>
      <c r="E26" s="1015">
        <v>8</v>
      </c>
      <c r="F26" s="1022">
        <v>16</v>
      </c>
      <c r="G26" s="809"/>
      <c r="H26" s="791"/>
      <c r="I26" s="791"/>
      <c r="J26" s="791"/>
      <c r="K26" s="1315"/>
      <c r="L26" s="1315"/>
      <c r="M26" s="1694"/>
      <c r="N26" s="1695"/>
      <c r="O26" s="1696"/>
    </row>
    <row r="27" spans="3:15" ht="13" thickBot="1">
      <c r="C27" s="857">
        <v>5</v>
      </c>
      <c r="D27" s="791"/>
      <c r="E27" s="957"/>
      <c r="F27" s="963"/>
      <c r="G27" s="791"/>
      <c r="H27" s="791"/>
      <c r="I27" s="791"/>
      <c r="J27" s="791"/>
      <c r="K27" s="1315"/>
      <c r="L27" s="1315"/>
    </row>
    <row r="28" spans="3:15" ht="13" thickBot="1">
      <c r="C28" s="857">
        <v>6</v>
      </c>
      <c r="D28" s="1018" t="s">
        <v>739</v>
      </c>
      <c r="E28" s="811">
        <v>32</v>
      </c>
      <c r="F28" s="809"/>
      <c r="G28" s="791"/>
      <c r="H28" s="791"/>
      <c r="I28" s="791"/>
      <c r="J28" s="791"/>
      <c r="K28" s="1315"/>
      <c r="L28" s="1315"/>
    </row>
    <row r="29" spans="3:15">
      <c r="C29" s="857">
        <v>7</v>
      </c>
      <c r="D29" s="791"/>
      <c r="E29" s="963"/>
      <c r="F29" s="791"/>
      <c r="G29" s="791"/>
      <c r="H29" s="791"/>
      <c r="I29" s="791"/>
      <c r="J29" s="791"/>
      <c r="K29" s="1315"/>
      <c r="L29" s="1315"/>
    </row>
    <row r="30" spans="3:15">
      <c r="C30" s="857">
        <v>8</v>
      </c>
      <c r="D30" s="791" t="s">
        <v>955</v>
      </c>
      <c r="E30" s="791">
        <f>SUM(E24:G24,E26:F26,E28)</f>
        <v>63</v>
      </c>
      <c r="F30" s="900" t="s">
        <v>740</v>
      </c>
      <c r="G30" s="791"/>
      <c r="H30" s="791"/>
      <c r="I30" s="791"/>
      <c r="J30" s="791"/>
      <c r="K30" s="1315"/>
      <c r="L30" s="1315"/>
    </row>
    <row r="31" spans="3:15"/>
    <row r="32" spans="3:15" ht="13">
      <c r="C32" s="772" t="s">
        <v>709</v>
      </c>
    </row>
    <row r="33" spans="3:15" ht="13">
      <c r="C33" s="772"/>
    </row>
    <row r="34" spans="3:15">
      <c r="C34" s="1585" t="s">
        <v>708</v>
      </c>
      <c r="D34" s="1585"/>
      <c r="E34" s="1585"/>
      <c r="F34" s="1585"/>
      <c r="G34" s="1585"/>
      <c r="H34" s="1585"/>
      <c r="I34" s="1585"/>
      <c r="J34" s="1585"/>
      <c r="K34" s="1585"/>
      <c r="L34" s="1585"/>
      <c r="M34" s="1585"/>
      <c r="N34" s="1585"/>
      <c r="O34" s="1585"/>
    </row>
    <row r="35" spans="3:15">
      <c r="C35" s="1585"/>
      <c r="D35" s="1585"/>
      <c r="E35" s="1585"/>
      <c r="F35" s="1585"/>
      <c r="G35" s="1585"/>
      <c r="H35" s="1585"/>
      <c r="I35" s="1585"/>
      <c r="J35" s="1585"/>
      <c r="K35" s="1585"/>
      <c r="L35" s="1585"/>
      <c r="M35" s="1585"/>
      <c r="N35" s="1585"/>
      <c r="O35" s="1585"/>
    </row>
    <row r="36" spans="3:15"/>
    <row r="37" spans="3:15">
      <c r="C37" s="1585" t="s">
        <v>706</v>
      </c>
      <c r="D37" s="1585"/>
      <c r="E37" s="1585"/>
      <c r="F37" s="1585"/>
      <c r="G37" s="1585"/>
      <c r="H37" s="1585"/>
      <c r="I37" s="1585"/>
      <c r="J37" s="1585"/>
      <c r="K37" s="1585"/>
      <c r="L37" s="1585"/>
      <c r="M37" s="1585"/>
      <c r="N37" s="1585"/>
      <c r="O37" s="1585"/>
    </row>
    <row r="38" spans="3:15">
      <c r="C38" s="1585"/>
      <c r="D38" s="1585"/>
      <c r="E38" s="1585"/>
      <c r="F38" s="1585"/>
      <c r="G38" s="1585"/>
      <c r="H38" s="1585"/>
      <c r="I38" s="1585"/>
      <c r="J38" s="1585"/>
      <c r="K38" s="1585"/>
      <c r="L38" s="1585"/>
      <c r="M38" s="1585"/>
      <c r="N38" s="1585"/>
      <c r="O38" s="1585"/>
    </row>
    <row r="39" spans="3:15">
      <c r="C39" s="1585"/>
      <c r="D39" s="1585"/>
      <c r="E39" s="1585"/>
      <c r="F39" s="1585"/>
      <c r="G39" s="1585"/>
      <c r="H39" s="1585"/>
      <c r="I39" s="1585"/>
      <c r="J39" s="1585"/>
      <c r="K39" s="1585"/>
      <c r="L39" s="1585"/>
      <c r="M39" s="1585"/>
      <c r="N39" s="1585"/>
      <c r="O39" s="1585"/>
    </row>
    <row r="40" spans="3:15"/>
    <row r="41" spans="3:15">
      <c r="C41" s="1585" t="s">
        <v>707</v>
      </c>
      <c r="D41" s="1585"/>
      <c r="E41" s="1585"/>
      <c r="F41" s="1585"/>
      <c r="G41" s="1585"/>
      <c r="H41" s="1585"/>
      <c r="I41" s="1585"/>
      <c r="J41" s="1585"/>
      <c r="K41" s="1585"/>
      <c r="L41" s="1585"/>
      <c r="M41" s="1585"/>
      <c r="N41" s="1585"/>
      <c r="O41" s="1585"/>
    </row>
    <row r="42" spans="3:15">
      <c r="C42" s="1585"/>
      <c r="D42" s="1585"/>
      <c r="E42" s="1585"/>
      <c r="F42" s="1585"/>
      <c r="G42" s="1585"/>
      <c r="H42" s="1585"/>
      <c r="I42" s="1585"/>
      <c r="J42" s="1585"/>
      <c r="K42" s="1585"/>
      <c r="L42" s="1585"/>
      <c r="M42" s="1585"/>
      <c r="N42" s="1585"/>
      <c r="O42" s="1585"/>
    </row>
    <row r="43" spans="3:15" ht="13" thickBot="1"/>
    <row r="44" spans="3:15" ht="13" thickTop="1">
      <c r="C44" s="857"/>
      <c r="D44" s="857" t="s">
        <v>1363</v>
      </c>
      <c r="E44" s="857" t="s">
        <v>1364</v>
      </c>
      <c r="F44" s="857" t="s">
        <v>1473</v>
      </c>
      <c r="G44" s="857" t="s">
        <v>1474</v>
      </c>
      <c r="H44" s="857" t="s">
        <v>1475</v>
      </c>
      <c r="I44" s="857" t="s">
        <v>1476</v>
      </c>
      <c r="J44" s="857" t="s">
        <v>497</v>
      </c>
      <c r="K44" s="857" t="s">
        <v>1511</v>
      </c>
      <c r="L44" s="328"/>
      <c r="M44" s="1545" t="str">
        <f ca="1">OFFSET(ad_first,OFFSET(ads_top,ROW(ads_fn_SUM)-1,3),0)</f>
        <v>We can provide a mix of classroom, internet and self learning teaching.</v>
      </c>
      <c r="N44" s="1507"/>
      <c r="O44" s="1508"/>
    </row>
    <row r="45" spans="3:15" ht="13" thickBot="1">
      <c r="C45" s="857">
        <v>1</v>
      </c>
      <c r="D45" s="791"/>
      <c r="E45" s="958"/>
      <c r="F45" s="791"/>
      <c r="G45" s="791"/>
      <c r="H45" s="791"/>
      <c r="I45" s="958"/>
      <c r="J45" s="791"/>
      <c r="K45" s="791"/>
      <c r="L45" s="1315"/>
      <c r="M45" s="1509"/>
      <c r="N45" s="1510"/>
      <c r="O45" s="1511"/>
    </row>
    <row r="46" spans="3:15" ht="25.5" thickBot="1">
      <c r="C46" s="857">
        <v>2</v>
      </c>
      <c r="D46" s="1023" t="s">
        <v>778</v>
      </c>
      <c r="E46" s="1024" t="s">
        <v>741</v>
      </c>
      <c r="F46" s="809"/>
      <c r="G46" s="791"/>
      <c r="H46" s="1023" t="s">
        <v>778</v>
      </c>
      <c r="I46" s="1024" t="s">
        <v>741</v>
      </c>
      <c r="J46" s="809"/>
      <c r="K46" s="791"/>
      <c r="L46" s="1315"/>
      <c r="M46" s="1509"/>
      <c r="N46" s="1510"/>
      <c r="O46" s="1511"/>
    </row>
    <row r="47" spans="3:15" ht="13" thickBot="1">
      <c r="C47" s="949">
        <v>3</v>
      </c>
      <c r="D47" s="1019">
        <v>1</v>
      </c>
      <c r="E47" s="1014">
        <f>SUM(D47,E46)</f>
        <v>1</v>
      </c>
      <c r="F47" s="900" t="s">
        <v>742</v>
      </c>
      <c r="G47" s="1018"/>
      <c r="H47" s="1019">
        <v>1</v>
      </c>
      <c r="I47" s="1014" t="e">
        <f>H47+I46</f>
        <v>#VALUE!</v>
      </c>
      <c r="J47" s="900" t="s">
        <v>743</v>
      </c>
      <c r="K47" s="791"/>
      <c r="L47" s="1315"/>
      <c r="M47" s="1509"/>
      <c r="N47" s="1510"/>
      <c r="O47" s="1511"/>
    </row>
    <row r="48" spans="3:15" ht="13" thickBot="1">
      <c r="C48" s="857">
        <v>4</v>
      </c>
      <c r="D48" s="963">
        <v>2</v>
      </c>
      <c r="E48" s="791">
        <f>SUM(D48,E47)</f>
        <v>3</v>
      </c>
      <c r="F48" s="791"/>
      <c r="G48" s="791"/>
      <c r="H48" s="963">
        <v>2</v>
      </c>
      <c r="I48" s="791" t="e">
        <f>SUM(H48,I47)</f>
        <v>#VALUE!</v>
      </c>
      <c r="J48" s="791"/>
      <c r="K48" s="791"/>
      <c r="L48" s="1315"/>
      <c r="M48" s="1512"/>
      <c r="N48" s="1513"/>
      <c r="O48" s="1514"/>
    </row>
    <row r="49" spans="3:15" ht="13" thickTop="1">
      <c r="C49" s="857">
        <v>5</v>
      </c>
      <c r="D49" s="791">
        <v>4</v>
      </c>
      <c r="E49" s="791">
        <f>SUM(D49,E48)</f>
        <v>7</v>
      </c>
      <c r="F49" s="791"/>
      <c r="G49" s="791"/>
      <c r="H49" s="791">
        <v>4</v>
      </c>
      <c r="I49" s="791" t="e">
        <f>SUM(H49,I48)</f>
        <v>#VALUE!</v>
      </c>
      <c r="J49" s="791"/>
      <c r="K49" s="791"/>
      <c r="L49" s="1315"/>
      <c r="M49" s="33"/>
      <c r="N49" s="33"/>
      <c r="O49" s="33"/>
    </row>
    <row r="50" spans="3:15">
      <c r="C50" s="857">
        <v>6</v>
      </c>
      <c r="D50" s="791"/>
      <c r="E50" s="791"/>
      <c r="F50" s="791"/>
      <c r="G50" s="791"/>
      <c r="H50" s="791"/>
      <c r="I50" s="791"/>
      <c r="J50" s="791"/>
      <c r="K50" s="791"/>
      <c r="L50" s="1315"/>
      <c r="M50" s="33"/>
      <c r="N50" s="33"/>
      <c r="O50" s="33"/>
    </row>
    <row r="51" spans="3:15"/>
    <row r="52" spans="3:15">
      <c r="C52" s="1585" t="s">
        <v>713</v>
      </c>
      <c r="D52" s="1585"/>
      <c r="E52" s="1585"/>
      <c r="F52" s="1585"/>
      <c r="G52" s="1585"/>
      <c r="H52" s="1585"/>
      <c r="I52" s="1585"/>
      <c r="J52" s="1585"/>
      <c r="K52" s="1585"/>
      <c r="L52" s="1585"/>
      <c r="M52" s="1585"/>
      <c r="N52" s="1585"/>
      <c r="O52" s="1585"/>
    </row>
    <row r="53" spans="3:15">
      <c r="C53" s="1585"/>
      <c r="D53" s="1585"/>
      <c r="E53" s="1585"/>
      <c r="F53" s="1585"/>
      <c r="G53" s="1585"/>
      <c r="H53" s="1585"/>
      <c r="I53" s="1585"/>
      <c r="J53" s="1585"/>
      <c r="K53" s="1585"/>
      <c r="L53" s="1585"/>
      <c r="M53" s="1585"/>
      <c r="N53" s="1585"/>
      <c r="O53" s="1585"/>
    </row>
    <row r="54" spans="3:15">
      <c r="C54" s="1585"/>
      <c r="D54" s="1585"/>
      <c r="E54" s="1585"/>
      <c r="F54" s="1585"/>
      <c r="G54" s="1585"/>
      <c r="H54" s="1585"/>
      <c r="I54" s="1585"/>
      <c r="J54" s="1585"/>
      <c r="K54" s="1585"/>
      <c r="L54" s="1585"/>
      <c r="M54" s="1585"/>
      <c r="N54" s="1585"/>
      <c r="O54" s="1585"/>
    </row>
    <row r="55" spans="3:15">
      <c r="C55" s="1585"/>
      <c r="D55" s="1585"/>
      <c r="E55" s="1585"/>
      <c r="F55" s="1585"/>
      <c r="G55" s="1585"/>
      <c r="H55" s="1585"/>
      <c r="I55" s="1585"/>
      <c r="J55" s="1585"/>
      <c r="K55" s="1585"/>
      <c r="L55" s="1585"/>
      <c r="M55" s="1585"/>
      <c r="N55" s="1585"/>
      <c r="O55" s="1585"/>
    </row>
    <row r="56" spans="3:15">
      <c r="C56" s="1585"/>
      <c r="D56" s="1585"/>
      <c r="E56" s="1585"/>
      <c r="F56" s="1585"/>
      <c r="G56" s="1585"/>
      <c r="H56" s="1585"/>
      <c r="I56" s="1585"/>
      <c r="J56" s="1585"/>
      <c r="K56" s="1585"/>
      <c r="L56" s="1585"/>
      <c r="M56" s="1585"/>
      <c r="N56" s="1585"/>
      <c r="O56" s="1585"/>
    </row>
    <row r="57" spans="3:15">
      <c r="C57" s="1585"/>
      <c r="D57" s="1585"/>
      <c r="E57" s="1585"/>
      <c r="F57" s="1585"/>
      <c r="G57" s="1585"/>
      <c r="H57" s="1585"/>
      <c r="I57" s="1585"/>
      <c r="J57" s="1585"/>
      <c r="K57" s="1585"/>
      <c r="L57" s="1585"/>
      <c r="M57" s="1585"/>
      <c r="N57" s="1585"/>
      <c r="O57" s="1585"/>
    </row>
    <row r="58" spans="3:15" ht="13" thickBot="1"/>
    <row r="59" spans="3:15" ht="13" thickTop="1">
      <c r="C59" s="857"/>
      <c r="D59" s="857" t="s">
        <v>1363</v>
      </c>
      <c r="E59" s="857" t="s">
        <v>1364</v>
      </c>
      <c r="F59" s="857" t="s">
        <v>1473</v>
      </c>
      <c r="G59" s="857" t="s">
        <v>1474</v>
      </c>
      <c r="H59" s="857" t="s">
        <v>1475</v>
      </c>
      <c r="I59" s="857" t="s">
        <v>1476</v>
      </c>
      <c r="J59" s="857" t="s">
        <v>497</v>
      </c>
      <c r="K59" s="857" t="s">
        <v>1511</v>
      </c>
      <c r="L59" s="328"/>
      <c r="M59" s="1545" t="str">
        <f ca="1">OFFSET(ad_first,OFFSET(ads_top,ROW(ads_fn_SUM)-1,4),0)</f>
        <v>Feedback from our Visual Basic course: "The material covered will be very useful at work as the CD and workbook provided"</v>
      </c>
      <c r="N59" s="1689"/>
      <c r="O59" s="1690"/>
    </row>
    <row r="60" spans="3:15" ht="13" thickBot="1">
      <c r="C60" s="857">
        <v>1</v>
      </c>
      <c r="D60" s="791"/>
      <c r="E60" s="958"/>
      <c r="F60" s="791"/>
      <c r="G60" s="791"/>
      <c r="H60" s="791"/>
      <c r="I60" s="791"/>
      <c r="J60" s="791"/>
      <c r="K60" s="791"/>
      <c r="L60" s="1315"/>
      <c r="M60" s="1691"/>
      <c r="N60" s="1692"/>
      <c r="O60" s="1693"/>
    </row>
    <row r="61" spans="3:15" ht="13" thickBot="1">
      <c r="C61" s="857">
        <v>2</v>
      </c>
      <c r="D61" s="1018" t="s">
        <v>953</v>
      </c>
      <c r="E61" s="1025" t="s">
        <v>956</v>
      </c>
      <c r="F61" s="1027" t="s">
        <v>578</v>
      </c>
      <c r="G61" s="791"/>
      <c r="H61" s="791"/>
      <c r="I61" s="791"/>
      <c r="J61" s="791"/>
      <c r="K61" s="791"/>
      <c r="L61" s="1315"/>
      <c r="M61" s="1691"/>
      <c r="N61" s="1692"/>
      <c r="O61" s="1693"/>
    </row>
    <row r="62" spans="3:15" ht="13" thickBot="1">
      <c r="C62" s="857">
        <v>3</v>
      </c>
      <c r="D62" s="791"/>
      <c r="E62" s="957"/>
      <c r="F62" s="791"/>
      <c r="G62" s="791"/>
      <c r="H62" s="791"/>
      <c r="I62" s="791"/>
      <c r="J62" s="791"/>
      <c r="K62" s="791"/>
      <c r="L62" s="1315"/>
      <c r="M62" s="1691"/>
      <c r="N62" s="1692"/>
      <c r="O62" s="1693"/>
    </row>
    <row r="63" spans="3:15" ht="13" thickBot="1">
      <c r="C63" s="857">
        <v>4</v>
      </c>
      <c r="D63" s="1018" t="s">
        <v>954</v>
      </c>
      <c r="E63" s="1016">
        <v>3</v>
      </c>
      <c r="F63" s="809"/>
      <c r="G63" s="791"/>
      <c r="H63" s="791"/>
      <c r="I63" s="791"/>
      <c r="J63" s="791"/>
      <c r="K63" s="791"/>
      <c r="L63" s="1315"/>
      <c r="M63" s="1694"/>
      <c r="N63" s="1695"/>
      <c r="O63" s="1696"/>
    </row>
    <row r="64" spans="3:15">
      <c r="C64" s="857">
        <v>5</v>
      </c>
      <c r="D64" s="791"/>
      <c r="E64" s="963"/>
      <c r="F64" s="791"/>
      <c r="G64" s="791"/>
      <c r="H64" s="791"/>
      <c r="I64" s="791"/>
      <c r="J64" s="791"/>
      <c r="K64" s="791"/>
      <c r="L64" s="1315"/>
    </row>
    <row r="65" spans="3:15">
      <c r="C65" s="857">
        <v>6</v>
      </c>
      <c r="D65" s="791" t="s">
        <v>711</v>
      </c>
      <c r="E65" s="791"/>
      <c r="F65" s="857">
        <f>SUM(E61,E63)</f>
        <v>3</v>
      </c>
      <c r="G65" s="900" t="s">
        <v>1238</v>
      </c>
      <c r="H65" s="791"/>
      <c r="I65" s="791"/>
      <c r="J65" s="900"/>
      <c r="K65" s="791"/>
      <c r="L65" s="1315"/>
    </row>
    <row r="66" spans="3:15">
      <c r="C66" s="857">
        <v>7</v>
      </c>
      <c r="D66" s="791"/>
      <c r="E66" s="791"/>
      <c r="F66" s="857"/>
      <c r="G66" s="791"/>
      <c r="H66" s="791"/>
      <c r="I66" s="791"/>
      <c r="J66" s="791"/>
      <c r="K66" s="791"/>
      <c r="L66" s="1315"/>
    </row>
    <row r="67" spans="3:15">
      <c r="C67" s="857">
        <v>8</v>
      </c>
      <c r="D67" s="791" t="s">
        <v>712</v>
      </c>
      <c r="E67" s="791"/>
      <c r="F67" s="857">
        <f>E61+E63</f>
        <v>8</v>
      </c>
      <c r="G67" s="900" t="s">
        <v>1239</v>
      </c>
      <c r="H67" s="791"/>
      <c r="I67" s="791"/>
      <c r="J67" s="791"/>
      <c r="K67" s="791"/>
      <c r="L67" s="1315"/>
    </row>
    <row r="68" spans="3:15">
      <c r="F68" s="1026"/>
    </row>
    <row r="69" spans="3:15">
      <c r="C69" s="1585" t="s">
        <v>714</v>
      </c>
      <c r="D69" s="1518"/>
      <c r="E69" s="1518"/>
      <c r="F69" s="1518"/>
      <c r="G69" s="1518"/>
      <c r="H69" s="1518"/>
      <c r="I69" s="1518"/>
      <c r="J69" s="1518"/>
      <c r="K69" s="1518"/>
      <c r="L69" s="1518"/>
      <c r="M69" s="1518"/>
      <c r="N69" s="1518"/>
      <c r="O69" s="1518"/>
    </row>
    <row r="70" spans="3:15">
      <c r="C70" s="1518"/>
      <c r="D70" s="1518"/>
      <c r="E70" s="1518"/>
      <c r="F70" s="1518"/>
      <c r="G70" s="1518"/>
      <c r="H70" s="1518"/>
      <c r="I70" s="1518"/>
      <c r="J70" s="1518"/>
      <c r="K70" s="1518"/>
      <c r="L70" s="1518"/>
      <c r="M70" s="1518"/>
      <c r="N70" s="1518"/>
      <c r="O70" s="1518"/>
    </row>
    <row r="71" spans="3:15"/>
    <row r="72" spans="3:15">
      <c r="C72" s="1697" t="str">
        <f>back_to_index</f>
        <v>Back to contents</v>
      </c>
      <c r="D72" s="1697"/>
      <c r="G72" s="1530" t="str">
        <f>page_prefix &amp; page_fn_SUM&amp; page_suffix</f>
        <v>- Page 35 -</v>
      </c>
      <c r="H72" s="1530"/>
      <c r="I72" s="1530"/>
      <c r="J72" s="1481"/>
      <c r="K72" s="1481"/>
      <c r="N72" s="1640" t="str">
        <f>back_to_top</f>
        <v>Back to top</v>
      </c>
      <c r="O72" s="1640"/>
    </row>
    <row r="73" spans="3:15">
      <c r="G73" s="1530" t="str">
        <f>copyright</f>
        <v>Copyright (c) 2009 Tykoh Group Pty Limited</v>
      </c>
      <c r="H73" s="1530"/>
      <c r="I73" s="1530"/>
      <c r="J73" s="1481"/>
      <c r="K73" s="1481"/>
    </row>
    <row r="74" spans="3:15">
      <c r="G74" s="1452" t="str">
        <f>home_address</f>
        <v>www.tykoh.com</v>
      </c>
      <c r="H74" s="1452"/>
      <c r="I74" s="1452"/>
      <c r="J74" s="1452"/>
      <c r="K74" s="1452"/>
    </row>
    <row r="75" spans="3:15"/>
  </sheetData>
  <sheetProtection algorithmName="SHA-512" hashValue="+Tw9ZifhRjAuHuXp5qDWwmca2DAYkDiFpBWR45bg3FxoNSG6anZ/3esVCc3OPBI7+qbWDbqoKnhiBO1LSyXojg==" saltValue="YovFE1jNuWRqh9fNg4bEYA==" spinCount="100000" sheet="1" objects="1" scenarios="1"/>
  <mergeCells count="16">
    <mergeCell ref="M4:O8"/>
    <mergeCell ref="C5:K7"/>
    <mergeCell ref="M22:O26"/>
    <mergeCell ref="G74:K74"/>
    <mergeCell ref="N72:O72"/>
    <mergeCell ref="C72:D72"/>
    <mergeCell ref="G72:K72"/>
    <mergeCell ref="G73:K73"/>
    <mergeCell ref="C52:O57"/>
    <mergeCell ref="C69:O70"/>
    <mergeCell ref="M44:O48"/>
    <mergeCell ref="M59:O63"/>
    <mergeCell ref="C19:O20"/>
    <mergeCell ref="C37:O39"/>
    <mergeCell ref="C41:O42"/>
    <mergeCell ref="C34:O35"/>
  </mergeCells>
  <phoneticPr fontId="2" type="noConversion"/>
  <hyperlinks>
    <hyperlink ref="N72:O72" location="hh_fn_SUM" display="hh_fn_SUM" xr:uid="{00000000-0004-0000-2F00-000000000000}"/>
    <hyperlink ref="C72:D72" location="hh_index" display="hh_index" xr:uid="{00000000-0004-0000-2F00-000001000000}"/>
    <hyperlink ref="G74:K74" r:id="rId1" display="https://www.tykoh.com/" xr:uid="{00000000-0004-0000-2F00-000002000000}"/>
  </hyperlinks>
  <pageMargins left="0.75" right="0.75" top="1" bottom="1" header="0.5" footer="0.5"/>
  <pageSetup scale="65" orientation="portrait" r:id="rId2"/>
  <headerFooter alignWithMargins="0"/>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4"/>
  <dimension ref="C1:O397"/>
  <sheetViews>
    <sheetView showGridLines="0" showRowColHeaders="0" topLeftCell="A151" zoomScaleNormal="100" workbookViewId="0">
      <selection activeCell="G396" sqref="G396:K396"/>
    </sheetView>
  </sheetViews>
  <sheetFormatPr defaultColWidth="0" defaultRowHeight="12.5" zeroHeight="1"/>
  <cols>
    <col min="1" max="2" width="1" style="32" customWidth="1"/>
    <col min="3" max="3" width="9.26953125" style="32" bestFit="1" customWidth="1"/>
    <col min="4" max="4" width="9.7265625" style="32" bestFit="1" customWidth="1"/>
    <col min="5" max="5" width="11.26953125" style="32" bestFit="1" customWidth="1"/>
    <col min="6" max="6" width="9.26953125" style="32" bestFit="1" customWidth="1"/>
    <col min="7"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727</v>
      </c>
    </row>
    <row r="4" spans="3:15" ht="13" thickTop="1">
      <c r="C4" s="1585" t="s">
        <v>114</v>
      </c>
      <c r="D4" s="1585"/>
      <c r="E4" s="1585"/>
      <c r="F4" s="1585"/>
      <c r="G4" s="1585"/>
      <c r="H4" s="1585"/>
      <c r="I4" s="1585"/>
      <c r="J4" s="1585"/>
      <c r="K4" s="1585"/>
      <c r="M4" s="1521" t="str">
        <f ca="1">OFFSET(ad_first,OFFSET(ads_top,ROW(ads_fn_SUMPRODUCT)-1,1),0)</f>
        <v>Our Visual Basic course shows how to increase work efficiency by making shortcuts for common tasks</v>
      </c>
      <c r="N4" s="1507"/>
      <c r="O4" s="1508"/>
    </row>
    <row r="5" spans="3:15">
      <c r="C5" s="1585"/>
      <c r="D5" s="1585"/>
      <c r="E5" s="1585"/>
      <c r="F5" s="1585"/>
      <c r="G5" s="1585"/>
      <c r="H5" s="1585"/>
      <c r="I5" s="1585"/>
      <c r="J5" s="1585"/>
      <c r="K5" s="1585"/>
      <c r="M5" s="1509"/>
      <c r="N5" s="1510"/>
      <c r="O5" s="1511"/>
    </row>
    <row r="6" spans="3:15">
      <c r="C6" s="1585"/>
      <c r="D6" s="1585"/>
      <c r="E6" s="1585"/>
      <c r="F6" s="1585"/>
      <c r="G6" s="1585"/>
      <c r="H6" s="1585"/>
      <c r="I6" s="1585"/>
      <c r="J6" s="1585"/>
      <c r="K6" s="1585"/>
      <c r="M6" s="1509"/>
      <c r="N6" s="1510"/>
      <c r="O6" s="1511"/>
    </row>
    <row r="7" spans="3:15">
      <c r="C7" s="1585"/>
      <c r="D7" s="1585"/>
      <c r="E7" s="1585"/>
      <c r="F7" s="1585"/>
      <c r="G7" s="1585"/>
      <c r="H7" s="1585"/>
      <c r="I7" s="1585"/>
      <c r="J7" s="1585"/>
      <c r="K7" s="1585"/>
      <c r="M7" s="1509"/>
      <c r="N7" s="1510"/>
      <c r="O7" s="1511"/>
    </row>
    <row r="8" spans="3:15" ht="13" thickBot="1">
      <c r="C8" s="1585"/>
      <c r="D8" s="1585"/>
      <c r="E8" s="1585"/>
      <c r="F8" s="1585"/>
      <c r="G8" s="1585"/>
      <c r="H8" s="1585"/>
      <c r="I8" s="1585"/>
      <c r="J8" s="1585"/>
      <c r="K8" s="1585"/>
      <c r="M8" s="1512"/>
      <c r="N8" s="1513"/>
      <c r="O8" s="1514"/>
    </row>
    <row r="9" spans="3:15" ht="13" thickTop="1">
      <c r="C9" s="1585"/>
      <c r="D9" s="1585"/>
      <c r="E9" s="1585"/>
      <c r="F9" s="1585"/>
      <c r="G9" s="1585"/>
      <c r="H9" s="1585"/>
      <c r="I9" s="1585"/>
      <c r="J9" s="1585"/>
      <c r="K9" s="1585"/>
      <c r="M9" s="1310"/>
      <c r="N9" s="1311"/>
      <c r="O9" s="1311"/>
    </row>
    <row r="10" spans="3:15"/>
    <row r="11" spans="3:15">
      <c r="C11" s="1585" t="s">
        <v>151</v>
      </c>
      <c r="D11" s="1585"/>
      <c r="E11" s="1585"/>
      <c r="F11" s="1585"/>
      <c r="G11" s="1585"/>
      <c r="H11" s="1585"/>
      <c r="I11" s="1585"/>
      <c r="J11" s="1585"/>
      <c r="K11" s="1585"/>
      <c r="L11" s="1585"/>
      <c r="M11" s="1585"/>
      <c r="N11" s="1585"/>
      <c r="O11" s="1585"/>
    </row>
    <row r="12" spans="3:15">
      <c r="C12" s="1585"/>
      <c r="D12" s="1585"/>
      <c r="E12" s="1585"/>
      <c r="F12" s="1585"/>
      <c r="G12" s="1585"/>
      <c r="H12" s="1585"/>
      <c r="I12" s="1585"/>
      <c r="J12" s="1585"/>
      <c r="K12" s="1585"/>
      <c r="L12" s="1585"/>
      <c r="M12" s="1585"/>
      <c r="N12" s="1585"/>
      <c r="O12" s="1585"/>
    </row>
    <row r="13" spans="3:15"/>
    <row r="14" spans="3:15">
      <c r="C14" s="1585" t="s">
        <v>181</v>
      </c>
      <c r="D14" s="1585"/>
      <c r="E14" s="1585"/>
      <c r="F14" s="1585"/>
      <c r="G14" s="1585"/>
      <c r="H14" s="1585"/>
      <c r="I14" s="1585"/>
      <c r="J14" s="1585"/>
      <c r="K14" s="1585"/>
      <c r="L14" s="1585"/>
      <c r="M14" s="1585"/>
      <c r="N14" s="1585"/>
      <c r="O14" s="1585"/>
    </row>
    <row r="15" spans="3:15">
      <c r="C15" s="1585"/>
      <c r="D15" s="1585"/>
      <c r="E15" s="1585"/>
      <c r="F15" s="1585"/>
      <c r="G15" s="1585"/>
      <c r="H15" s="1585"/>
      <c r="I15" s="1585"/>
      <c r="J15" s="1585"/>
      <c r="K15" s="1585"/>
      <c r="L15" s="1585"/>
      <c r="M15" s="1585"/>
      <c r="N15" s="1585"/>
      <c r="O15" s="1585"/>
    </row>
    <row r="16" spans="3:15"/>
    <row r="17" spans="3:15">
      <c r="C17" s="857"/>
      <c r="D17" s="857" t="s">
        <v>1363</v>
      </c>
      <c r="E17" s="857" t="s">
        <v>1364</v>
      </c>
      <c r="F17" s="857" t="s">
        <v>1473</v>
      </c>
      <c r="G17" s="857" t="s">
        <v>1474</v>
      </c>
      <c r="H17" s="857" t="s">
        <v>1475</v>
      </c>
      <c r="I17" s="857" t="s">
        <v>1476</v>
      </c>
      <c r="J17" s="857" t="s">
        <v>497</v>
      </c>
      <c r="K17" s="857" t="s">
        <v>1511</v>
      </c>
      <c r="L17" s="857" t="s">
        <v>1512</v>
      </c>
    </row>
    <row r="18" spans="3:15" ht="25.5" thickBot="1">
      <c r="C18" s="857">
        <v>1</v>
      </c>
      <c r="D18" s="791" t="s">
        <v>218</v>
      </c>
      <c r="E18" s="958" t="s">
        <v>150</v>
      </c>
      <c r="F18" s="958" t="s">
        <v>217</v>
      </c>
      <c r="G18" s="791"/>
      <c r="H18" s="1157" t="s">
        <v>819</v>
      </c>
      <c r="I18" s="791"/>
      <c r="J18" s="791"/>
      <c r="K18" s="791"/>
      <c r="L18" s="791"/>
    </row>
    <row r="19" spans="3:15">
      <c r="C19" s="857">
        <v>2</v>
      </c>
      <c r="D19" s="1018" t="s">
        <v>219</v>
      </c>
      <c r="E19" s="1194">
        <v>12</v>
      </c>
      <c r="F19" s="1238">
        <v>20</v>
      </c>
      <c r="G19" s="809"/>
      <c r="H19" s="791">
        <f>SUMPRODUCT(E19:E21,F19:F21)</f>
        <v>450</v>
      </c>
      <c r="I19" s="900" t="s">
        <v>222</v>
      </c>
      <c r="J19" s="791"/>
      <c r="K19" s="791"/>
      <c r="L19" s="791"/>
    </row>
    <row r="20" spans="3:15">
      <c r="C20" s="857">
        <v>3</v>
      </c>
      <c r="D20" s="1018" t="s">
        <v>220</v>
      </c>
      <c r="E20" s="1236">
        <v>15</v>
      </c>
      <c r="F20" s="1239">
        <v>10</v>
      </c>
      <c r="G20" s="809"/>
      <c r="H20" s="791"/>
      <c r="I20" s="791"/>
      <c r="J20" s="791"/>
      <c r="K20" s="791"/>
      <c r="L20" s="791"/>
    </row>
    <row r="21" spans="3:15" ht="13" thickBot="1">
      <c r="C21" s="857">
        <v>4</v>
      </c>
      <c r="D21" s="1018" t="s">
        <v>221</v>
      </c>
      <c r="E21" s="1237">
        <v>30</v>
      </c>
      <c r="F21" s="1240">
        <v>2</v>
      </c>
      <c r="G21" s="809"/>
      <c r="H21" s="791"/>
      <c r="I21" s="791"/>
      <c r="J21" s="791"/>
      <c r="K21" s="791"/>
      <c r="L21" s="791"/>
    </row>
    <row r="22" spans="3:15">
      <c r="C22" s="791"/>
      <c r="D22" s="791"/>
      <c r="E22" s="963"/>
      <c r="F22" s="963"/>
      <c r="G22" s="791"/>
      <c r="H22" s="791"/>
      <c r="I22" s="791"/>
      <c r="J22" s="791"/>
      <c r="K22" s="791"/>
      <c r="L22" s="791"/>
    </row>
    <row r="23" spans="3:15"/>
    <row r="24" spans="3:15">
      <c r="C24" s="1585" t="s">
        <v>1395</v>
      </c>
      <c r="D24" s="1585"/>
      <c r="E24" s="1585"/>
      <c r="F24" s="1585"/>
      <c r="G24" s="1585"/>
      <c r="H24" s="1585"/>
      <c r="I24" s="1585"/>
      <c r="J24" s="1585"/>
      <c r="K24" s="1585"/>
      <c r="L24" s="1585"/>
      <c r="M24" s="1585"/>
      <c r="N24" s="1585"/>
      <c r="O24" s="1585"/>
    </row>
    <row r="25" spans="3:15">
      <c r="C25" s="1585"/>
      <c r="D25" s="1585"/>
      <c r="E25" s="1585"/>
      <c r="F25" s="1585"/>
      <c r="G25" s="1585"/>
      <c r="H25" s="1585"/>
      <c r="I25" s="1585"/>
      <c r="J25" s="1585"/>
      <c r="K25" s="1585"/>
      <c r="L25" s="1585"/>
      <c r="M25" s="1585"/>
      <c r="N25" s="1585"/>
      <c r="O25" s="1585"/>
    </row>
    <row r="26" spans="3:15">
      <c r="C26" s="1585"/>
      <c r="D26" s="1585"/>
      <c r="E26" s="1585"/>
      <c r="F26" s="1585"/>
      <c r="G26" s="1585"/>
      <c r="H26" s="1585"/>
      <c r="I26" s="1585"/>
      <c r="J26" s="1585"/>
      <c r="K26" s="1585"/>
      <c r="L26" s="1585"/>
      <c r="M26" s="1585"/>
      <c r="N26" s="1585"/>
      <c r="O26" s="1585"/>
    </row>
    <row r="27" spans="3:15">
      <c r="C27" s="1585"/>
      <c r="D27" s="1585"/>
      <c r="E27" s="1585"/>
      <c r="F27" s="1585"/>
      <c r="G27" s="1585"/>
      <c r="H27" s="1585"/>
      <c r="I27" s="1585"/>
      <c r="J27" s="1585"/>
      <c r="K27" s="1585"/>
      <c r="L27" s="1585"/>
      <c r="M27" s="1585"/>
      <c r="N27" s="1585"/>
      <c r="O27" s="1585"/>
    </row>
    <row r="28" spans="3:15"/>
    <row r="29" spans="3:15" ht="13">
      <c r="C29" s="772" t="s">
        <v>152</v>
      </c>
    </row>
    <row r="30" spans="3:15">
      <c r="C30" s="1585" t="s">
        <v>1396</v>
      </c>
      <c r="D30" s="1585"/>
      <c r="E30" s="1585"/>
      <c r="F30" s="1585"/>
      <c r="G30" s="1585"/>
      <c r="H30" s="1585"/>
      <c r="I30" s="1585"/>
      <c r="J30" s="1585"/>
      <c r="K30" s="1585"/>
      <c r="L30" s="1585"/>
      <c r="M30" s="1585"/>
      <c r="N30" s="1585"/>
      <c r="O30" s="1585"/>
    </row>
    <row r="31" spans="3:15">
      <c r="C31" s="1585"/>
      <c r="D31" s="1585"/>
      <c r="E31" s="1585"/>
      <c r="F31" s="1585"/>
      <c r="G31" s="1585"/>
      <c r="H31" s="1585"/>
      <c r="I31" s="1585"/>
      <c r="J31" s="1585"/>
      <c r="K31" s="1585"/>
      <c r="L31" s="1585"/>
      <c r="M31" s="1585"/>
      <c r="N31" s="1585"/>
      <c r="O31" s="1585"/>
    </row>
    <row r="32" spans="3:15" ht="13" thickBot="1"/>
    <row r="33" spans="3:15" ht="13" thickTop="1">
      <c r="C33" s="857"/>
      <c r="D33" s="857" t="s">
        <v>1363</v>
      </c>
      <c r="E33" s="857" t="s">
        <v>1364</v>
      </c>
      <c r="F33" s="857" t="s">
        <v>1473</v>
      </c>
      <c r="G33" s="857" t="s">
        <v>1474</v>
      </c>
      <c r="H33" s="857" t="s">
        <v>1475</v>
      </c>
      <c r="I33" s="857" t="s">
        <v>1476</v>
      </c>
      <c r="J33" s="857" t="s">
        <v>497</v>
      </c>
      <c r="K33" s="857" t="s">
        <v>1511</v>
      </c>
      <c r="M33" s="1521" t="str">
        <f ca="1">OFFSET(ad_first,OFFSET(ads_top,ROW(ads_fn_SUMPRODUCT)-1,2),0)</f>
        <v>Our Visual Basic course shows how to increase the "wow-factor" of your developed applications</v>
      </c>
      <c r="N33" s="1507"/>
      <c r="O33" s="1508"/>
    </row>
    <row r="34" spans="3:15" ht="13" thickBot="1">
      <c r="C34" s="857">
        <v>1</v>
      </c>
      <c r="D34" s="958"/>
      <c r="E34" s="958"/>
      <c r="F34" s="791"/>
      <c r="G34" s="791"/>
      <c r="H34" s="791"/>
      <c r="I34" s="791"/>
      <c r="J34" s="791"/>
      <c r="K34" s="791"/>
      <c r="M34" s="1509"/>
      <c r="N34" s="1510"/>
      <c r="O34" s="1511"/>
    </row>
    <row r="35" spans="3:15">
      <c r="C35" s="949">
        <v>2</v>
      </c>
      <c r="D35" s="1194">
        <v>1</v>
      </c>
      <c r="E35" s="1238">
        <v>0</v>
      </c>
      <c r="F35" s="809"/>
      <c r="G35" s="791">
        <f>SUMPRODUCT(D35:D38,E35:E38)</f>
        <v>1</v>
      </c>
      <c r="H35" s="900" t="s">
        <v>225</v>
      </c>
      <c r="I35" s="791"/>
      <c r="J35" s="791"/>
      <c r="K35" s="791"/>
      <c r="M35" s="1509"/>
      <c r="N35" s="1510"/>
      <c r="O35" s="1511"/>
    </row>
    <row r="36" spans="3:15">
      <c r="C36" s="949">
        <v>3</v>
      </c>
      <c r="D36" s="1236">
        <v>0</v>
      </c>
      <c r="E36" s="1239">
        <v>1</v>
      </c>
      <c r="F36" s="809"/>
      <c r="G36" s="791"/>
      <c r="H36" s="791"/>
      <c r="I36" s="791"/>
      <c r="J36" s="791"/>
      <c r="K36" s="791"/>
      <c r="M36" s="1509"/>
      <c r="N36" s="1510"/>
      <c r="O36" s="1511"/>
    </row>
    <row r="37" spans="3:15" ht="13" thickBot="1">
      <c r="C37" s="949">
        <v>4</v>
      </c>
      <c r="D37" s="1236">
        <v>1</v>
      </c>
      <c r="E37" s="1239">
        <v>1</v>
      </c>
      <c r="F37" s="809"/>
      <c r="G37" s="791"/>
      <c r="H37" s="791"/>
      <c r="I37" s="791"/>
      <c r="J37" s="791"/>
      <c r="K37" s="791"/>
      <c r="M37" s="1512"/>
      <c r="N37" s="1513"/>
      <c r="O37" s="1514"/>
    </row>
    <row r="38" spans="3:15" ht="13.5" thickTop="1" thickBot="1">
      <c r="C38" s="949">
        <v>5</v>
      </c>
      <c r="D38" s="1237">
        <v>0</v>
      </c>
      <c r="E38" s="1240">
        <v>0</v>
      </c>
      <c r="F38" s="809"/>
      <c r="G38" s="791"/>
      <c r="H38" s="791"/>
      <c r="I38" s="791"/>
      <c r="J38" s="791"/>
      <c r="K38" s="791"/>
      <c r="M38" s="1310"/>
      <c r="N38" s="1311"/>
      <c r="O38" s="1311"/>
    </row>
    <row r="39" spans="3:15">
      <c r="C39" s="857">
        <v>6</v>
      </c>
      <c r="D39" s="963"/>
      <c r="E39" s="963"/>
      <c r="F39" s="791"/>
      <c r="G39" s="791"/>
      <c r="H39" s="791"/>
      <c r="I39" s="791"/>
      <c r="J39" s="791"/>
      <c r="K39" s="791"/>
    </row>
    <row r="40" spans="3:15"/>
    <row r="41" spans="3:15">
      <c r="C41" s="1585" t="s">
        <v>701</v>
      </c>
      <c r="D41" s="1585"/>
      <c r="E41" s="1585"/>
      <c r="F41" s="1585"/>
      <c r="G41" s="1585"/>
      <c r="H41" s="1585"/>
      <c r="I41" s="1585"/>
      <c r="J41" s="1585"/>
      <c r="K41" s="1585"/>
      <c r="L41" s="1585"/>
      <c r="M41" s="1585"/>
      <c r="N41" s="1585"/>
      <c r="O41" s="1585"/>
    </row>
    <row r="42" spans="3:15">
      <c r="C42" s="1585"/>
      <c r="D42" s="1585"/>
      <c r="E42" s="1585"/>
      <c r="F42" s="1585"/>
      <c r="G42" s="1585"/>
      <c r="H42" s="1585"/>
      <c r="I42" s="1585"/>
      <c r="J42" s="1585"/>
      <c r="K42" s="1585"/>
      <c r="L42" s="1585"/>
      <c r="M42" s="1585"/>
      <c r="N42" s="1585"/>
      <c r="O42" s="1585"/>
    </row>
    <row r="43" spans="3:15">
      <c r="C43" s="1585"/>
      <c r="D43" s="1585"/>
      <c r="E43" s="1585"/>
      <c r="F43" s="1585"/>
      <c r="G43" s="1585"/>
      <c r="H43" s="1585"/>
      <c r="I43" s="1585"/>
      <c r="J43" s="1585"/>
      <c r="K43" s="1585"/>
      <c r="L43" s="1585"/>
      <c r="M43" s="1585"/>
      <c r="N43" s="1585"/>
      <c r="O43" s="1585"/>
    </row>
    <row r="44" spans="3:15"/>
    <row r="45" spans="3:15" ht="13">
      <c r="C45" s="772" t="s">
        <v>1398</v>
      </c>
    </row>
    <row r="46" spans="3:15">
      <c r="C46" s="1585" t="s">
        <v>702</v>
      </c>
      <c r="D46" s="1585"/>
      <c r="E46" s="1585"/>
      <c r="F46" s="1585"/>
      <c r="G46" s="1585"/>
      <c r="H46" s="1585"/>
      <c r="I46" s="1585"/>
      <c r="J46" s="1585"/>
      <c r="K46" s="1585"/>
      <c r="L46" s="1585"/>
      <c r="M46" s="1585"/>
      <c r="N46" s="1585"/>
      <c r="O46" s="1585"/>
    </row>
    <row r="47" spans="3:15"/>
    <row r="48" spans="3:15">
      <c r="C48" s="857"/>
      <c r="D48" s="857" t="s">
        <v>1363</v>
      </c>
      <c r="E48" s="857" t="s">
        <v>1364</v>
      </c>
      <c r="F48" s="857" t="s">
        <v>1473</v>
      </c>
      <c r="G48" s="857" t="s">
        <v>1474</v>
      </c>
      <c r="H48" s="857" t="s">
        <v>1475</v>
      </c>
      <c r="I48" s="857" t="s">
        <v>1476</v>
      </c>
      <c r="J48" s="857" t="s">
        <v>497</v>
      </c>
      <c r="K48" s="857" t="s">
        <v>1511</v>
      </c>
    </row>
    <row r="49" spans="3:15" ht="13" thickBot="1">
      <c r="C49" s="857">
        <v>1</v>
      </c>
      <c r="D49" s="958"/>
      <c r="E49" s="791"/>
      <c r="F49" s="791"/>
      <c r="G49" s="791"/>
      <c r="H49" s="791"/>
      <c r="I49" s="791"/>
      <c r="J49" s="791"/>
      <c r="K49" s="791"/>
    </row>
    <row r="50" spans="3:15" ht="13" thickBot="1">
      <c r="C50" s="949">
        <v>2</v>
      </c>
      <c r="D50" s="1019" t="b">
        <v>1</v>
      </c>
      <c r="E50" s="809">
        <f>D50+1</f>
        <v>2</v>
      </c>
      <c r="F50" s="900" t="s">
        <v>223</v>
      </c>
      <c r="G50" s="791"/>
      <c r="H50" s="791"/>
      <c r="I50" s="791"/>
      <c r="J50" s="791"/>
      <c r="K50" s="791"/>
    </row>
    <row r="51" spans="3:15" ht="13" thickBot="1">
      <c r="C51" s="857">
        <v>3</v>
      </c>
      <c r="D51" s="957"/>
      <c r="E51" s="791"/>
      <c r="F51" s="791"/>
      <c r="G51" s="791"/>
      <c r="H51" s="791"/>
      <c r="I51" s="791"/>
      <c r="J51" s="791"/>
      <c r="K51" s="791"/>
    </row>
    <row r="52" spans="3:15" ht="13" thickBot="1">
      <c r="C52" s="949">
        <v>4</v>
      </c>
      <c r="D52" s="1016" t="b">
        <v>0</v>
      </c>
      <c r="E52" s="809">
        <f>D52+1</f>
        <v>1</v>
      </c>
      <c r="F52" s="900" t="s">
        <v>224</v>
      </c>
      <c r="G52" s="791"/>
      <c r="H52" s="791"/>
      <c r="I52" s="791"/>
      <c r="J52" s="791"/>
      <c r="K52" s="791"/>
    </row>
    <row r="53" spans="3:15">
      <c r="C53" s="857">
        <v>5</v>
      </c>
      <c r="D53" s="963"/>
      <c r="E53" s="791"/>
      <c r="F53" s="791"/>
      <c r="G53" s="791"/>
      <c r="H53" s="791"/>
      <c r="I53" s="791"/>
      <c r="J53" s="791"/>
      <c r="K53" s="791"/>
    </row>
    <row r="54" spans="3:15"/>
    <row r="55" spans="3:15">
      <c r="C55" s="1585" t="s">
        <v>153</v>
      </c>
      <c r="D55" s="1585"/>
      <c r="E55" s="1585"/>
      <c r="F55" s="1585"/>
      <c r="G55" s="1585"/>
      <c r="H55" s="1585"/>
      <c r="I55" s="1585"/>
      <c r="J55" s="1585"/>
      <c r="K55" s="1585"/>
      <c r="L55" s="1585"/>
      <c r="M55" s="1585"/>
      <c r="N55" s="1585"/>
      <c r="O55" s="1585"/>
    </row>
    <row r="56" spans="3:15">
      <c r="C56" s="1585"/>
      <c r="D56" s="1585"/>
      <c r="E56" s="1585"/>
      <c r="F56" s="1585"/>
      <c r="G56" s="1585"/>
      <c r="H56" s="1585"/>
      <c r="I56" s="1585"/>
      <c r="J56" s="1585"/>
      <c r="K56" s="1585"/>
      <c r="L56" s="1585"/>
      <c r="M56" s="1585"/>
      <c r="N56" s="1585"/>
      <c r="O56" s="1585"/>
    </row>
    <row r="57" spans="3:15"/>
    <row r="58" spans="3:15">
      <c r="C58" s="1585" t="s">
        <v>700</v>
      </c>
      <c r="D58" s="1585"/>
      <c r="E58" s="1585"/>
      <c r="F58" s="1585"/>
      <c r="G58" s="1585"/>
      <c r="H58" s="1585"/>
      <c r="I58" s="1585"/>
      <c r="J58" s="1585"/>
      <c r="K58" s="1585"/>
      <c r="L58" s="1585"/>
      <c r="M58" s="1585"/>
      <c r="N58" s="1585"/>
      <c r="O58" s="1585"/>
    </row>
    <row r="59" spans="3:15">
      <c r="C59" s="1585"/>
      <c r="D59" s="1585"/>
      <c r="E59" s="1585"/>
      <c r="F59" s="1585"/>
      <c r="G59" s="1585"/>
      <c r="H59" s="1585"/>
      <c r="I59" s="1585"/>
      <c r="J59" s="1585"/>
      <c r="K59" s="1585"/>
      <c r="L59" s="1585"/>
      <c r="M59" s="1585"/>
      <c r="N59" s="1585"/>
      <c r="O59" s="1585"/>
    </row>
    <row r="60" spans="3:15"/>
    <row r="61" spans="3:15" ht="13">
      <c r="C61" s="772" t="s">
        <v>1397</v>
      </c>
    </row>
    <row r="62" spans="3:15">
      <c r="C62" s="1585" t="s">
        <v>1399</v>
      </c>
      <c r="D62" s="1585"/>
      <c r="E62" s="1585"/>
      <c r="F62" s="1585"/>
      <c r="G62" s="1585"/>
      <c r="H62" s="1585"/>
      <c r="I62" s="1585"/>
      <c r="J62" s="1585"/>
      <c r="K62" s="1585"/>
      <c r="L62" s="1585"/>
      <c r="M62" s="1585"/>
      <c r="N62" s="1585"/>
      <c r="O62" s="1585"/>
    </row>
    <row r="63" spans="3:15">
      <c r="C63" s="1585"/>
      <c r="D63" s="1585"/>
      <c r="E63" s="1585"/>
      <c r="F63" s="1585"/>
      <c r="G63" s="1585"/>
      <c r="H63" s="1585"/>
      <c r="I63" s="1585"/>
      <c r="J63" s="1585"/>
      <c r="K63" s="1585"/>
      <c r="L63" s="1585"/>
      <c r="M63" s="1585"/>
      <c r="N63" s="1585"/>
      <c r="O63" s="1585"/>
    </row>
    <row r="64" spans="3:15"/>
    <row r="65" spans="3:15">
      <c r="C65" s="1585" t="s">
        <v>851</v>
      </c>
      <c r="D65" s="1585"/>
      <c r="E65" s="1585"/>
      <c r="F65" s="1585"/>
      <c r="G65" s="1585"/>
      <c r="H65" s="1585"/>
      <c r="I65" s="1585"/>
      <c r="J65" s="1585"/>
      <c r="K65" s="1585"/>
      <c r="L65" s="1585"/>
      <c r="M65" s="1585"/>
      <c r="N65" s="1585"/>
      <c r="O65" s="1585"/>
    </row>
    <row r="66" spans="3:15">
      <c r="C66" s="1585"/>
      <c r="D66" s="1585"/>
      <c r="E66" s="1585"/>
      <c r="F66" s="1585"/>
      <c r="G66" s="1585"/>
      <c r="H66" s="1585"/>
      <c r="I66" s="1585"/>
      <c r="J66" s="1585"/>
      <c r="K66" s="1585"/>
      <c r="L66" s="1585"/>
      <c r="M66" s="1585"/>
      <c r="N66" s="1585"/>
      <c r="O66" s="1585"/>
    </row>
    <row r="67" spans="3:15" ht="13" thickBot="1"/>
    <row r="68" spans="3:15" ht="13" thickTop="1">
      <c r="C68" s="857"/>
      <c r="D68" s="857" t="s">
        <v>1363</v>
      </c>
      <c r="E68" s="857" t="s">
        <v>1364</v>
      </c>
      <c r="F68" s="857" t="s">
        <v>1473</v>
      </c>
      <c r="G68" s="857" t="s">
        <v>1474</v>
      </c>
      <c r="H68" s="857" t="s">
        <v>1475</v>
      </c>
      <c r="I68" s="857" t="s">
        <v>1476</v>
      </c>
      <c r="J68" s="857" t="s">
        <v>497</v>
      </c>
      <c r="K68" s="857" t="s">
        <v>1511</v>
      </c>
      <c r="M68" s="1521" t="str">
        <f ca="1">OFFSET(ad_first,OFFSET(ads_top,ROW(ads_fn_SUMPRODUCT)-1,3),0)</f>
        <v>Feedback from our Spreadsheet skills course: "The facilitator is an excellent resource. Thanks for the opportunity to complete this."</v>
      </c>
      <c r="N68" s="1507"/>
      <c r="O68" s="1508"/>
    </row>
    <row r="69" spans="3:15" ht="13" thickBot="1">
      <c r="C69" s="857">
        <v>1</v>
      </c>
      <c r="D69" s="958"/>
      <c r="E69" s="958"/>
      <c r="F69" s="791"/>
      <c r="G69" s="791"/>
      <c r="H69" s="791"/>
      <c r="I69" s="791"/>
      <c r="J69" s="791"/>
      <c r="K69" s="791"/>
      <c r="M69" s="1509"/>
      <c r="N69" s="1510"/>
      <c r="O69" s="1511"/>
    </row>
    <row r="70" spans="3:15">
      <c r="C70" s="949">
        <v>2</v>
      </c>
      <c r="D70" s="1194" t="b">
        <v>1</v>
      </c>
      <c r="E70" s="1238" t="b">
        <v>0</v>
      </c>
      <c r="F70" s="809"/>
      <c r="G70" s="791">
        <f>SUMPRODUCT(D70:D73*E70:E73)</f>
        <v>1</v>
      </c>
      <c r="H70" s="900" t="s">
        <v>226</v>
      </c>
      <c r="I70" s="791"/>
      <c r="J70" s="791"/>
      <c r="K70" s="791"/>
      <c r="M70" s="1509"/>
      <c r="N70" s="1510"/>
      <c r="O70" s="1511"/>
    </row>
    <row r="71" spans="3:15">
      <c r="C71" s="949">
        <v>3</v>
      </c>
      <c r="D71" s="1236" t="b">
        <v>0</v>
      </c>
      <c r="E71" s="1239" t="b">
        <v>1</v>
      </c>
      <c r="F71" s="809"/>
      <c r="G71" s="791"/>
      <c r="H71" s="791"/>
      <c r="I71" s="791"/>
      <c r="J71" s="791"/>
      <c r="K71" s="791"/>
      <c r="M71" s="1509"/>
      <c r="N71" s="1510"/>
      <c r="O71" s="1511"/>
    </row>
    <row r="72" spans="3:15" ht="13" thickBot="1">
      <c r="C72" s="949">
        <v>4</v>
      </c>
      <c r="D72" s="1236" t="b">
        <v>1</v>
      </c>
      <c r="E72" s="1239" t="b">
        <v>1</v>
      </c>
      <c r="F72" s="809"/>
      <c r="G72" s="791"/>
      <c r="H72" s="791"/>
      <c r="I72" s="791"/>
      <c r="J72" s="791"/>
      <c r="K72" s="791"/>
      <c r="M72" s="1512"/>
      <c r="N72" s="1513"/>
      <c r="O72" s="1514"/>
    </row>
    <row r="73" spans="3:15" ht="13.5" thickTop="1" thickBot="1">
      <c r="C73" s="949">
        <v>5</v>
      </c>
      <c r="D73" s="1237" t="b">
        <v>0</v>
      </c>
      <c r="E73" s="1240" t="b">
        <v>0</v>
      </c>
      <c r="F73" s="809"/>
      <c r="G73" s="791"/>
      <c r="H73" s="791"/>
      <c r="I73" s="791"/>
      <c r="J73" s="791"/>
      <c r="K73" s="791"/>
      <c r="M73" s="1310"/>
      <c r="N73" s="1311"/>
      <c r="O73" s="1311"/>
    </row>
    <row r="74" spans="3:15">
      <c r="C74" s="857">
        <v>6</v>
      </c>
      <c r="D74" s="963"/>
      <c r="E74" s="963"/>
      <c r="F74" s="791"/>
      <c r="G74" s="791"/>
      <c r="H74" s="791"/>
      <c r="I74" s="791"/>
      <c r="J74" s="791"/>
      <c r="K74" s="791"/>
    </row>
    <row r="75" spans="3:15"/>
    <row r="76" spans="3:15">
      <c r="C76" s="1585" t="s">
        <v>84</v>
      </c>
      <c r="D76" s="1585"/>
      <c r="E76" s="1585"/>
      <c r="F76" s="1585"/>
      <c r="G76" s="1585"/>
      <c r="H76" s="1585"/>
      <c r="I76" s="1585"/>
      <c r="J76" s="1585"/>
      <c r="K76" s="1585"/>
      <c r="L76" s="1585"/>
      <c r="M76" s="1585"/>
      <c r="N76" s="1585"/>
      <c r="O76" s="1585"/>
    </row>
    <row r="77" spans="3:15">
      <c r="C77" s="1585"/>
      <c r="D77" s="1585"/>
      <c r="E77" s="1585"/>
      <c r="F77" s="1585"/>
      <c r="G77" s="1585"/>
      <c r="H77" s="1585"/>
      <c r="I77" s="1585"/>
      <c r="J77" s="1585"/>
      <c r="K77" s="1585"/>
      <c r="L77" s="1585"/>
      <c r="M77" s="1585"/>
      <c r="N77" s="1585"/>
      <c r="O77" s="1585"/>
    </row>
    <row r="78" spans="3:15" s="343" customFormat="1" ht="13">
      <c r="C78" s="1291" t="s">
        <v>842</v>
      </c>
      <c r="D78" s="776"/>
      <c r="E78" s="776"/>
      <c r="F78" s="776"/>
      <c r="G78" s="776"/>
      <c r="H78" s="776"/>
      <c r="I78" s="776"/>
      <c r="J78" s="776"/>
      <c r="K78" s="776"/>
      <c r="L78" s="776"/>
      <c r="M78" s="776"/>
      <c r="N78" s="776"/>
      <c r="O78" s="776"/>
    </row>
    <row r="79" spans="3:15">
      <c r="C79" s="1585" t="s">
        <v>85</v>
      </c>
      <c r="D79" s="1585"/>
      <c r="E79" s="1585"/>
      <c r="F79" s="1585"/>
      <c r="G79" s="1585"/>
      <c r="H79" s="1585"/>
      <c r="I79" s="1585"/>
      <c r="J79" s="1585"/>
      <c r="K79" s="1585"/>
      <c r="L79" s="1585"/>
      <c r="M79" s="1585"/>
      <c r="N79" s="1585"/>
      <c r="O79" s="1585"/>
    </row>
    <row r="80" spans="3:15">
      <c r="C80" s="1585"/>
      <c r="D80" s="1585"/>
      <c r="E80" s="1585"/>
      <c r="F80" s="1585"/>
      <c r="G80" s="1585"/>
      <c r="H80" s="1585"/>
      <c r="I80" s="1585"/>
      <c r="J80" s="1585"/>
      <c r="K80" s="1585"/>
      <c r="L80" s="1585"/>
      <c r="M80" s="1585"/>
      <c r="N80" s="1585"/>
      <c r="O80" s="1585"/>
    </row>
    <row r="81" spans="3:15"/>
    <row r="82" spans="3:15">
      <c r="C82" s="1585" t="s">
        <v>86</v>
      </c>
      <c r="D82" s="1585"/>
      <c r="E82" s="1585"/>
      <c r="F82" s="1585"/>
      <c r="G82" s="1585"/>
      <c r="H82" s="1585"/>
      <c r="I82" s="1585"/>
      <c r="J82" s="1585"/>
      <c r="K82" s="1585"/>
      <c r="L82" s="1585"/>
      <c r="M82" s="1585"/>
      <c r="N82" s="1585"/>
      <c r="O82" s="1585"/>
    </row>
    <row r="83" spans="3:15">
      <c r="C83" s="1585"/>
      <c r="D83" s="1585"/>
      <c r="E83" s="1585"/>
      <c r="F83" s="1585"/>
      <c r="G83" s="1585"/>
      <c r="H83" s="1585"/>
      <c r="I83" s="1585"/>
      <c r="J83" s="1585"/>
      <c r="K83" s="1585"/>
      <c r="L83" s="1585"/>
      <c r="M83" s="1585"/>
      <c r="N83" s="1585"/>
      <c r="O83" s="1585"/>
    </row>
    <row r="84" spans="3:15"/>
    <row r="85" spans="3:15">
      <c r="C85" s="857"/>
      <c r="D85" s="857" t="s">
        <v>1363</v>
      </c>
      <c r="E85" s="857" t="s">
        <v>1364</v>
      </c>
      <c r="F85" s="857" t="s">
        <v>1473</v>
      </c>
      <c r="G85" s="857" t="s">
        <v>1474</v>
      </c>
      <c r="H85" s="857" t="s">
        <v>1475</v>
      </c>
      <c r="I85" s="857" t="s">
        <v>1476</v>
      </c>
      <c r="J85" s="857" t="s">
        <v>497</v>
      </c>
      <c r="K85" s="857" t="s">
        <v>1511</v>
      </c>
    </row>
    <row r="86" spans="3:15">
      <c r="C86" s="857">
        <v>1</v>
      </c>
      <c r="D86" s="857"/>
      <c r="E86" s="1728" t="s">
        <v>1598</v>
      </c>
      <c r="F86" s="1728"/>
      <c r="G86" s="857"/>
      <c r="H86" s="1728" t="s">
        <v>1599</v>
      </c>
      <c r="I86" s="1728"/>
      <c r="J86" s="857"/>
      <c r="K86" s="857"/>
    </row>
    <row r="87" spans="3:15" ht="13" thickBot="1">
      <c r="C87" s="857">
        <f>C86+1</f>
        <v>2</v>
      </c>
      <c r="D87" s="791" t="s">
        <v>895</v>
      </c>
      <c r="E87" s="791">
        <v>2008</v>
      </c>
      <c r="F87" s="958">
        <v>2009</v>
      </c>
      <c r="G87" s="791"/>
      <c r="H87" s="791">
        <v>2008</v>
      </c>
      <c r="I87" s="958">
        <v>2009</v>
      </c>
      <c r="J87" s="791"/>
      <c r="K87" s="791"/>
    </row>
    <row r="88" spans="3:15" ht="13" thickBot="1">
      <c r="C88" s="857">
        <f t="shared" ref="C88:C101" si="0">C87+1</f>
        <v>3</v>
      </c>
      <c r="D88" s="791" t="s">
        <v>1363</v>
      </c>
      <c r="E88" s="1018">
        <v>34</v>
      </c>
      <c r="F88" s="1019">
        <v>40</v>
      </c>
      <c r="G88" s="809"/>
      <c r="H88" s="1018">
        <v>33</v>
      </c>
      <c r="I88" s="1016">
        <v>41</v>
      </c>
      <c r="J88" s="809"/>
      <c r="K88" s="791"/>
    </row>
    <row r="89" spans="3:15">
      <c r="C89" s="857">
        <f t="shared" si="0"/>
        <v>4</v>
      </c>
      <c r="D89" s="791" t="s">
        <v>1364</v>
      </c>
      <c r="E89" s="791">
        <v>23</v>
      </c>
      <c r="F89" s="963">
        <v>28</v>
      </c>
      <c r="G89" s="791"/>
      <c r="H89" s="791">
        <v>25</v>
      </c>
      <c r="I89" s="963">
        <v>27</v>
      </c>
      <c r="J89" s="791"/>
      <c r="K89" s="791"/>
    </row>
    <row r="90" spans="3:15">
      <c r="C90" s="857">
        <f t="shared" si="0"/>
        <v>5</v>
      </c>
      <c r="D90" s="791" t="s">
        <v>1473</v>
      </c>
      <c r="E90" s="791">
        <v>19</v>
      </c>
      <c r="F90" s="791">
        <v>22</v>
      </c>
      <c r="G90" s="791"/>
      <c r="H90" s="791">
        <v>16</v>
      </c>
      <c r="I90" s="791">
        <v>20</v>
      </c>
      <c r="J90" s="791"/>
      <c r="K90" s="791"/>
    </row>
    <row r="91" spans="3:15">
      <c r="C91" s="857">
        <f t="shared" si="0"/>
        <v>6</v>
      </c>
      <c r="D91" s="791" t="s">
        <v>1474</v>
      </c>
      <c r="E91" s="791">
        <v>13</v>
      </c>
      <c r="F91" s="791">
        <v>17</v>
      </c>
      <c r="G91" s="791"/>
      <c r="H91" s="791">
        <v>14</v>
      </c>
      <c r="I91" s="791">
        <v>19</v>
      </c>
      <c r="J91" s="791"/>
      <c r="K91" s="791"/>
    </row>
    <row r="92" spans="3:15">
      <c r="C92" s="857">
        <f t="shared" si="0"/>
        <v>7</v>
      </c>
      <c r="D92" s="791"/>
      <c r="E92" s="791"/>
      <c r="F92" s="791"/>
      <c r="G92" s="791"/>
      <c r="H92" s="791"/>
      <c r="I92" s="791"/>
      <c r="J92" s="791"/>
      <c r="K92" s="791"/>
    </row>
    <row r="93" spans="3:15" ht="25.5" thickBot="1">
      <c r="C93" s="857">
        <f t="shared" si="0"/>
        <v>8</v>
      </c>
      <c r="D93" s="1251" t="s">
        <v>227</v>
      </c>
      <c r="E93" s="958">
        <v>2008</v>
      </c>
      <c r="F93" s="958">
        <v>2009</v>
      </c>
      <c r="G93" s="791"/>
      <c r="H93" s="791"/>
      <c r="I93" s="791"/>
      <c r="J93" s="791"/>
      <c r="K93" s="791"/>
    </row>
    <row r="94" spans="3:15">
      <c r="C94" s="857">
        <f t="shared" si="0"/>
        <v>9</v>
      </c>
      <c r="D94" s="1018" t="s">
        <v>1363</v>
      </c>
      <c r="E94" s="1248" t="b">
        <f>H88&lt;=E88</f>
        <v>1</v>
      </c>
      <c r="F94" s="1219" t="b">
        <f>F88&gt;I88</f>
        <v>0</v>
      </c>
      <c r="G94" s="1027" t="s">
        <v>76</v>
      </c>
      <c r="H94" s="791"/>
      <c r="I94" s="791"/>
      <c r="J94" s="791"/>
      <c r="K94" s="791"/>
    </row>
    <row r="95" spans="3:15">
      <c r="C95" s="857">
        <f t="shared" si="0"/>
        <v>10</v>
      </c>
      <c r="D95" s="1018" t="s">
        <v>1364</v>
      </c>
      <c r="E95" s="1249" t="b">
        <f>H89&lt;=E89</f>
        <v>0</v>
      </c>
      <c r="F95" s="1220" t="b">
        <f>F89&gt;I89</f>
        <v>1</v>
      </c>
      <c r="G95" s="1247" t="s">
        <v>77</v>
      </c>
      <c r="H95" s="791"/>
      <c r="I95" s="791"/>
      <c r="J95" s="791"/>
      <c r="K95" s="791"/>
    </row>
    <row r="96" spans="3:15">
      <c r="C96" s="857">
        <f t="shared" si="0"/>
        <v>11</v>
      </c>
      <c r="D96" s="1018" t="s">
        <v>1473</v>
      </c>
      <c r="E96" s="1249" t="b">
        <f>H90&lt;=E90</f>
        <v>1</v>
      </c>
      <c r="F96" s="1220" t="b">
        <f>F90&gt;I90</f>
        <v>1</v>
      </c>
      <c r="G96" s="1247" t="s">
        <v>78</v>
      </c>
      <c r="H96" s="791"/>
      <c r="I96" s="791"/>
      <c r="J96" s="791"/>
      <c r="K96" s="791"/>
    </row>
    <row r="97" spans="3:15" ht="13" thickBot="1">
      <c r="C97" s="857">
        <f t="shared" si="0"/>
        <v>12</v>
      </c>
      <c r="D97" s="1018" t="s">
        <v>1474</v>
      </c>
      <c r="E97" s="1250" t="b">
        <f>H91&lt;=E91</f>
        <v>0</v>
      </c>
      <c r="F97" s="1221" t="b">
        <f>F91&gt;I91</f>
        <v>0</v>
      </c>
      <c r="G97" s="1247" t="s">
        <v>79</v>
      </c>
      <c r="H97" s="791"/>
      <c r="I97" s="791"/>
      <c r="J97" s="791"/>
      <c r="K97" s="791"/>
    </row>
    <row r="98" spans="3:15">
      <c r="C98" s="857">
        <f t="shared" si="0"/>
        <v>13</v>
      </c>
      <c r="D98" s="791"/>
      <c r="E98" s="963"/>
      <c r="F98" s="963"/>
      <c r="G98" s="791"/>
      <c r="H98" s="791"/>
      <c r="I98" s="791"/>
      <c r="J98" s="791"/>
      <c r="K98" s="791"/>
    </row>
    <row r="99" spans="3:15" ht="13">
      <c r="C99" s="857">
        <f t="shared" si="0"/>
        <v>14</v>
      </c>
      <c r="D99" s="946" t="s">
        <v>81</v>
      </c>
      <c r="E99" s="791"/>
      <c r="F99" s="791"/>
      <c r="G99" s="791"/>
      <c r="H99" s="791"/>
      <c r="I99" s="791"/>
      <c r="J99" s="791"/>
      <c r="K99" s="791"/>
    </row>
    <row r="100" spans="3:15">
      <c r="C100" s="857">
        <f t="shared" si="0"/>
        <v>15</v>
      </c>
      <c r="D100" s="791">
        <f>SUMPRODUCT(E94:E97*F94:F97)</f>
        <v>1</v>
      </c>
      <c r="E100" s="900" t="s">
        <v>75</v>
      </c>
      <c r="F100" s="791"/>
      <c r="G100" s="791"/>
      <c r="H100" s="791"/>
      <c r="I100" s="791"/>
      <c r="J100" s="791"/>
      <c r="K100" s="791"/>
    </row>
    <row r="101" spans="3:15">
      <c r="C101" s="857">
        <f t="shared" si="0"/>
        <v>16</v>
      </c>
      <c r="D101" s="791"/>
      <c r="E101" s="791"/>
      <c r="F101" s="791"/>
      <c r="G101" s="791"/>
      <c r="H101" s="791"/>
      <c r="I101" s="791"/>
      <c r="J101" s="791"/>
      <c r="K101" s="791"/>
    </row>
    <row r="102" spans="3:15"/>
    <row r="103" spans="3:15">
      <c r="C103" s="1585" t="s">
        <v>1627</v>
      </c>
      <c r="D103" s="1585"/>
      <c r="E103" s="1585"/>
      <c r="F103" s="1585"/>
      <c r="G103" s="1585"/>
      <c r="H103" s="1585"/>
      <c r="I103" s="1585"/>
      <c r="J103" s="1585"/>
      <c r="K103" s="1585"/>
      <c r="L103" s="1585"/>
      <c r="M103" s="1585"/>
      <c r="N103" s="1585"/>
      <c r="O103" s="1585"/>
    </row>
    <row r="104" spans="3:15">
      <c r="C104" s="1585"/>
      <c r="D104" s="1585"/>
      <c r="E104" s="1585"/>
      <c r="F104" s="1585"/>
      <c r="G104" s="1585"/>
      <c r="H104" s="1585"/>
      <c r="I104" s="1585"/>
      <c r="J104" s="1585"/>
      <c r="K104" s="1585"/>
      <c r="L104" s="1585"/>
      <c r="M104" s="1585"/>
      <c r="N104" s="1585"/>
      <c r="O104" s="1585"/>
    </row>
    <row r="105" spans="3:15">
      <c r="C105" s="1585"/>
      <c r="D105" s="1585"/>
      <c r="E105" s="1585"/>
      <c r="F105" s="1585"/>
      <c r="G105" s="1585"/>
      <c r="H105" s="1585"/>
      <c r="I105" s="1585"/>
      <c r="J105" s="1585"/>
      <c r="K105" s="1585"/>
      <c r="L105" s="1585"/>
      <c r="M105" s="1585"/>
      <c r="N105" s="1585"/>
      <c r="O105" s="1585"/>
    </row>
    <row r="106" spans="3:15">
      <c r="C106" s="1585" t="s">
        <v>18</v>
      </c>
      <c r="D106" s="1585"/>
      <c r="E106" s="1585"/>
      <c r="F106" s="1585"/>
      <c r="G106" s="1585"/>
      <c r="H106" s="1585"/>
      <c r="I106" s="1585"/>
      <c r="J106" s="1585"/>
      <c r="K106" s="1585"/>
      <c r="L106" s="1585"/>
      <c r="M106" s="1585"/>
      <c r="N106" s="1585"/>
      <c r="O106" s="1585"/>
    </row>
    <row r="107" spans="3:15">
      <c r="C107" s="1585"/>
      <c r="D107" s="1585"/>
      <c r="E107" s="1585"/>
      <c r="F107" s="1585"/>
      <c r="G107" s="1585"/>
      <c r="H107" s="1585"/>
      <c r="I107" s="1585"/>
      <c r="J107" s="1585"/>
      <c r="K107" s="1585"/>
      <c r="L107" s="1585"/>
      <c r="M107" s="1585"/>
      <c r="N107" s="1585"/>
      <c r="O107" s="1585"/>
    </row>
    <row r="108" spans="3:15"/>
    <row r="109" spans="3:15">
      <c r="C109" s="1585" t="s">
        <v>19</v>
      </c>
      <c r="D109" s="1585"/>
      <c r="E109" s="1585"/>
      <c r="F109" s="1585"/>
      <c r="G109" s="1585"/>
      <c r="H109" s="1585"/>
      <c r="I109" s="1585"/>
      <c r="J109" s="1585"/>
      <c r="K109" s="1585"/>
      <c r="L109" s="1585"/>
      <c r="M109" s="1585"/>
      <c r="N109" s="1585"/>
      <c r="O109" s="1585"/>
    </row>
    <row r="110" spans="3:15">
      <c r="C110" s="1585"/>
      <c r="D110" s="1585"/>
      <c r="E110" s="1585"/>
      <c r="F110" s="1585"/>
      <c r="G110" s="1585"/>
      <c r="H110" s="1585"/>
      <c r="I110" s="1585"/>
      <c r="J110" s="1585"/>
      <c r="K110" s="1585"/>
      <c r="L110" s="1585"/>
      <c r="M110" s="1585"/>
      <c r="N110" s="1585"/>
      <c r="O110" s="1585"/>
    </row>
    <row r="111" spans="3:15" ht="13" thickBot="1"/>
    <row r="112" spans="3:15" ht="13" thickTop="1">
      <c r="C112" s="857"/>
      <c r="D112" s="857" t="s">
        <v>1363</v>
      </c>
      <c r="E112" s="857" t="s">
        <v>1364</v>
      </c>
      <c r="F112" s="857" t="s">
        <v>1473</v>
      </c>
      <c r="G112" s="857" t="s">
        <v>1474</v>
      </c>
      <c r="H112" s="857" t="s">
        <v>1475</v>
      </c>
      <c r="I112" s="857" t="s">
        <v>1476</v>
      </c>
      <c r="J112" s="857" t="s">
        <v>497</v>
      </c>
      <c r="K112" s="857" t="s">
        <v>1511</v>
      </c>
      <c r="M112" s="1521" t="str">
        <f ca="1">OFFSET(ad_first,OFFSET(ads_top,ROW(ads_fn_SUMPRODUCT)-1,4),0)</f>
        <v>Our Visual Basic course shows how to automate routine work and save the time and trouble of doing the same thing over and over</v>
      </c>
      <c r="N112" s="1507"/>
      <c r="O112" s="1508"/>
    </row>
    <row r="113" spans="3:15">
      <c r="C113" s="857">
        <v>1</v>
      </c>
      <c r="D113" s="857"/>
      <c r="E113" s="1728" t="s">
        <v>1598</v>
      </c>
      <c r="F113" s="1728"/>
      <c r="G113" s="857"/>
      <c r="H113" s="1728" t="s">
        <v>1599</v>
      </c>
      <c r="I113" s="1728"/>
      <c r="J113" s="791"/>
      <c r="K113" s="791"/>
      <c r="M113" s="1509"/>
      <c r="N113" s="1510"/>
      <c r="O113" s="1511"/>
    </row>
    <row r="114" spans="3:15" ht="13" thickBot="1">
      <c r="C114" s="857">
        <v>2</v>
      </c>
      <c r="D114" s="791" t="s">
        <v>895</v>
      </c>
      <c r="E114" s="958">
        <v>2008</v>
      </c>
      <c r="F114" s="958">
        <v>2009</v>
      </c>
      <c r="G114" s="791"/>
      <c r="H114" s="958">
        <v>2008</v>
      </c>
      <c r="I114" s="958">
        <v>2009</v>
      </c>
      <c r="J114" s="791"/>
      <c r="K114" s="791"/>
      <c r="M114" s="1509"/>
      <c r="N114" s="1510"/>
      <c r="O114" s="1511"/>
    </row>
    <row r="115" spans="3:15">
      <c r="C115" s="857">
        <v>3</v>
      </c>
      <c r="D115" s="1018" t="s">
        <v>1363</v>
      </c>
      <c r="E115" s="1194">
        <v>34</v>
      </c>
      <c r="F115" s="1241">
        <v>40</v>
      </c>
      <c r="G115" s="1052"/>
      <c r="H115" s="1244">
        <v>33</v>
      </c>
      <c r="I115" s="1219">
        <v>41</v>
      </c>
      <c r="J115" s="809"/>
      <c r="K115" s="791"/>
      <c r="M115" s="1509"/>
      <c r="N115" s="1510"/>
      <c r="O115" s="1511"/>
    </row>
    <row r="116" spans="3:15" ht="13" thickBot="1">
      <c r="C116" s="857">
        <v>4</v>
      </c>
      <c r="D116" s="1018" t="s">
        <v>1364</v>
      </c>
      <c r="E116" s="1236">
        <v>23</v>
      </c>
      <c r="F116" s="1242">
        <v>28</v>
      </c>
      <c r="G116" s="1052"/>
      <c r="H116" s="1245">
        <v>25</v>
      </c>
      <c r="I116" s="1220">
        <v>27</v>
      </c>
      <c r="J116" s="809"/>
      <c r="K116" s="791"/>
      <c r="M116" s="1512"/>
      <c r="N116" s="1513"/>
      <c r="O116" s="1514"/>
    </row>
    <row r="117" spans="3:15" ht="13" thickTop="1">
      <c r="C117" s="857">
        <v>5</v>
      </c>
      <c r="D117" s="1018" t="s">
        <v>1473</v>
      </c>
      <c r="E117" s="1236">
        <v>19</v>
      </c>
      <c r="F117" s="1242">
        <v>22</v>
      </c>
      <c r="G117" s="1052"/>
      <c r="H117" s="1245">
        <v>16</v>
      </c>
      <c r="I117" s="1220">
        <v>20</v>
      </c>
      <c r="J117" s="809"/>
      <c r="K117" s="791"/>
      <c r="M117" s="1310"/>
      <c r="N117" s="1311"/>
      <c r="O117" s="1311"/>
    </row>
    <row r="118" spans="3:15" ht="13" thickBot="1">
      <c r="C118" s="857">
        <v>6</v>
      </c>
      <c r="D118" s="1018" t="s">
        <v>1474</v>
      </c>
      <c r="E118" s="1237">
        <v>13</v>
      </c>
      <c r="F118" s="1243">
        <v>17</v>
      </c>
      <c r="G118" s="1052"/>
      <c r="H118" s="1246">
        <v>14</v>
      </c>
      <c r="I118" s="1221">
        <v>19</v>
      </c>
      <c r="J118" s="809"/>
      <c r="K118" s="791"/>
    </row>
    <row r="119" spans="3:15">
      <c r="C119" s="857">
        <v>7</v>
      </c>
      <c r="D119" s="791"/>
      <c r="E119" s="963"/>
      <c r="F119" s="963"/>
      <c r="G119" s="791"/>
      <c r="H119" s="963"/>
      <c r="I119" s="963"/>
      <c r="J119" s="791"/>
      <c r="K119" s="791"/>
    </row>
    <row r="120" spans="3:15" ht="13">
      <c r="C120" s="857">
        <v>8</v>
      </c>
      <c r="D120" s="946" t="s">
        <v>81</v>
      </c>
      <c r="E120" s="963"/>
      <c r="F120" s="963"/>
      <c r="G120" s="791"/>
      <c r="H120" s="963"/>
      <c r="I120" s="963"/>
      <c r="J120" s="791"/>
      <c r="K120" s="791"/>
    </row>
    <row r="121" spans="3:15">
      <c r="C121" s="857">
        <v>9</v>
      </c>
      <c r="D121" s="791">
        <f>SUMPRODUCT((E115:E118&gt;H115:H118)*(F115:F118&gt;I115:I118))</f>
        <v>1</v>
      </c>
      <c r="E121" s="900" t="s">
        <v>80</v>
      </c>
      <c r="F121" s="791"/>
      <c r="G121" s="791"/>
      <c r="H121" s="791"/>
      <c r="I121" s="791"/>
      <c r="J121" s="791"/>
      <c r="K121" s="791"/>
    </row>
    <row r="122" spans="3:15">
      <c r="C122" s="857">
        <v>10</v>
      </c>
      <c r="D122" s="791"/>
      <c r="E122" s="791"/>
      <c r="F122" s="791"/>
      <c r="G122" s="791"/>
      <c r="H122" s="791"/>
      <c r="I122" s="791"/>
      <c r="J122" s="791"/>
      <c r="K122" s="791"/>
    </row>
    <row r="123" spans="3:15"/>
    <row r="124" spans="3:15">
      <c r="C124" s="1585" t="s">
        <v>839</v>
      </c>
      <c r="D124" s="1585"/>
      <c r="E124" s="1585"/>
      <c r="F124" s="1585"/>
      <c r="G124" s="1585"/>
      <c r="H124" s="1585"/>
      <c r="I124" s="1585"/>
      <c r="J124" s="1585"/>
      <c r="K124" s="1585"/>
      <c r="L124" s="1585"/>
      <c r="M124" s="1585"/>
      <c r="N124" s="1585"/>
      <c r="O124" s="1585"/>
    </row>
    <row r="125" spans="3:15">
      <c r="C125" s="1585"/>
      <c r="D125" s="1585"/>
      <c r="E125" s="1585"/>
      <c r="F125" s="1585"/>
      <c r="G125" s="1585"/>
      <c r="H125" s="1585"/>
      <c r="I125" s="1585"/>
      <c r="J125" s="1585"/>
      <c r="K125" s="1585"/>
      <c r="L125" s="1585"/>
      <c r="M125" s="1585"/>
      <c r="N125" s="1585"/>
      <c r="O125" s="1585"/>
    </row>
    <row r="126" spans="3:15"/>
    <row r="127" spans="3:15">
      <c r="C127" s="1585" t="s">
        <v>840</v>
      </c>
      <c r="D127" s="1585"/>
      <c r="E127" s="1585"/>
      <c r="F127" s="1585"/>
      <c r="G127" s="1585"/>
      <c r="H127" s="1585"/>
      <c r="I127" s="1585"/>
      <c r="J127" s="1585"/>
      <c r="K127" s="1585"/>
      <c r="L127" s="1585"/>
      <c r="M127" s="1585"/>
      <c r="N127" s="1585"/>
      <c r="O127" s="1585"/>
    </row>
    <row r="128" spans="3:15">
      <c r="C128" s="1585"/>
      <c r="D128" s="1585"/>
      <c r="E128" s="1585"/>
      <c r="F128" s="1585"/>
      <c r="G128" s="1585"/>
      <c r="H128" s="1585"/>
      <c r="I128" s="1585"/>
      <c r="J128" s="1585"/>
      <c r="K128" s="1585"/>
      <c r="L128" s="1585"/>
      <c r="M128" s="1585"/>
      <c r="N128" s="1585"/>
      <c r="O128" s="1585"/>
    </row>
    <row r="129" spans="3:15" ht="13">
      <c r="C129" s="32" t="s">
        <v>841</v>
      </c>
    </row>
    <row r="130" spans="3:15" ht="13" thickBot="1"/>
    <row r="131" spans="3:15" ht="13" thickTop="1">
      <c r="C131" s="1584" t="s">
        <v>491</v>
      </c>
      <c r="D131" s="1518"/>
      <c r="E131" s="1518"/>
      <c r="F131" s="1518"/>
      <c r="G131" s="1518"/>
      <c r="H131" s="1518"/>
      <c r="I131" s="1518"/>
      <c r="J131" s="1518"/>
      <c r="K131" s="1518"/>
      <c r="L131" s="1518"/>
      <c r="M131" s="1545" t="str">
        <f ca="1">OFFSET(ad_first,OFFSET(ads_top,ROW(ads_fn_SUMPRODUCT)-1,5),0)</f>
        <v>We can customise our courses for particular audiences.</v>
      </c>
      <c r="N131" s="1689"/>
      <c r="O131" s="1690"/>
    </row>
    <row r="132" spans="3:15">
      <c r="C132" s="1518"/>
      <c r="D132" s="1518"/>
      <c r="E132" s="1518"/>
      <c r="F132" s="1518"/>
      <c r="G132" s="1518"/>
      <c r="H132" s="1518"/>
      <c r="I132" s="1518"/>
      <c r="J132" s="1518"/>
      <c r="K132" s="1518"/>
      <c r="L132" s="1518"/>
      <c r="M132" s="1691"/>
      <c r="N132" s="1692"/>
      <c r="O132" s="1693"/>
    </row>
    <row r="133" spans="3:15">
      <c r="C133" s="1518"/>
      <c r="D133" s="1518"/>
      <c r="E133" s="1518"/>
      <c r="F133" s="1518"/>
      <c r="G133" s="1518"/>
      <c r="H133" s="1518"/>
      <c r="I133" s="1518"/>
      <c r="J133" s="1518"/>
      <c r="K133" s="1518"/>
      <c r="L133" s="1518"/>
      <c r="M133" s="1691"/>
      <c r="N133" s="1692"/>
      <c r="O133" s="1693"/>
    </row>
    <row r="134" spans="3:15">
      <c r="C134" s="1518"/>
      <c r="D134" s="1518"/>
      <c r="E134" s="1518"/>
      <c r="F134" s="1518"/>
      <c r="G134" s="1518"/>
      <c r="H134" s="1518"/>
      <c r="I134" s="1518"/>
      <c r="J134" s="1518"/>
      <c r="K134" s="1518"/>
      <c r="L134" s="1518"/>
      <c r="M134" s="1691"/>
      <c r="N134" s="1692"/>
      <c r="O134" s="1693"/>
    </row>
    <row r="135" spans="3:15" ht="13" thickBot="1">
      <c r="M135" s="1694"/>
      <c r="N135" s="1695"/>
      <c r="O135" s="1696"/>
    </row>
    <row r="136" spans="3:15" ht="13" thickTop="1">
      <c r="C136" s="1585" t="s">
        <v>843</v>
      </c>
      <c r="D136" s="1585"/>
      <c r="E136" s="1585"/>
      <c r="F136" s="1585"/>
      <c r="G136" s="1585"/>
      <c r="H136" s="1585"/>
      <c r="I136" s="1585"/>
      <c r="J136" s="1585"/>
      <c r="K136" s="1585"/>
      <c r="L136" s="1585"/>
      <c r="M136" s="1585"/>
      <c r="N136" s="1585"/>
      <c r="O136" s="1585"/>
    </row>
    <row r="137" spans="3:15"/>
    <row r="138" spans="3:15">
      <c r="C138" s="1585" t="s">
        <v>844</v>
      </c>
      <c r="D138" s="1585"/>
      <c r="E138" s="1585"/>
      <c r="F138" s="1585"/>
      <c r="G138" s="1585"/>
      <c r="H138" s="1585"/>
      <c r="I138" s="1585"/>
      <c r="J138" s="1585"/>
      <c r="K138" s="1585"/>
      <c r="L138" s="1585"/>
      <c r="M138" s="1585"/>
      <c r="N138" s="1585"/>
      <c r="O138" s="1585"/>
    </row>
    <row r="139" spans="3:15">
      <c r="C139" s="1585"/>
      <c r="D139" s="1585"/>
      <c r="E139" s="1585"/>
      <c r="F139" s="1585"/>
      <c r="G139" s="1585"/>
      <c r="H139" s="1585"/>
      <c r="I139" s="1585"/>
      <c r="J139" s="1585"/>
      <c r="K139" s="1585"/>
      <c r="L139" s="1585"/>
      <c r="M139" s="1585"/>
      <c r="N139" s="1585"/>
      <c r="O139" s="1585"/>
    </row>
    <row r="140" spans="3:15"/>
    <row r="141" spans="3:15">
      <c r="C141" s="1585" t="s">
        <v>845</v>
      </c>
      <c r="D141" s="1585"/>
      <c r="E141" s="1585"/>
      <c r="F141" s="1585"/>
      <c r="G141" s="1585"/>
      <c r="H141" s="1585"/>
      <c r="I141" s="1585"/>
      <c r="J141" s="1585"/>
      <c r="K141" s="1585"/>
      <c r="L141" s="1585"/>
      <c r="M141" s="1585"/>
      <c r="N141" s="1585"/>
      <c r="O141" s="1585"/>
    </row>
    <row r="142" spans="3:15">
      <c r="C142" s="1585"/>
      <c r="D142" s="1585"/>
      <c r="E142" s="1585"/>
      <c r="F142" s="1585"/>
      <c r="G142" s="1585"/>
      <c r="H142" s="1585"/>
      <c r="I142" s="1585"/>
      <c r="J142" s="1585"/>
      <c r="K142" s="1585"/>
      <c r="L142" s="1585"/>
      <c r="M142" s="1585"/>
      <c r="N142" s="1585"/>
      <c r="O142" s="1585"/>
    </row>
    <row r="143" spans="3:15"/>
    <row r="144" spans="3:15">
      <c r="C144" s="1585" t="s">
        <v>846</v>
      </c>
      <c r="D144" s="1585"/>
      <c r="E144" s="1585"/>
      <c r="F144" s="1585"/>
      <c r="G144" s="1585"/>
      <c r="H144" s="1585"/>
      <c r="I144" s="1585"/>
      <c r="J144" s="1585"/>
      <c r="K144" s="1585"/>
      <c r="L144" s="1585"/>
      <c r="M144" s="1585"/>
      <c r="N144" s="1585"/>
      <c r="O144" s="1585"/>
    </row>
    <row r="145" spans="3:15"/>
    <row r="146" spans="3:15">
      <c r="C146" s="857"/>
      <c r="D146" s="857" t="s">
        <v>1363</v>
      </c>
      <c r="E146" s="857" t="s">
        <v>1364</v>
      </c>
      <c r="F146" s="857" t="s">
        <v>1473</v>
      </c>
      <c r="G146" s="857" t="s">
        <v>1474</v>
      </c>
      <c r="H146" s="857" t="s">
        <v>1475</v>
      </c>
      <c r="I146" s="857" t="s">
        <v>1476</v>
      </c>
      <c r="J146" s="857" t="s">
        <v>497</v>
      </c>
      <c r="K146" s="857" t="s">
        <v>1511</v>
      </c>
      <c r="L146" s="857" t="s">
        <v>1512</v>
      </c>
      <c r="M146" s="857" t="s">
        <v>1513</v>
      </c>
      <c r="N146" s="857" t="s">
        <v>1514</v>
      </c>
      <c r="O146" s="857" t="s">
        <v>1515</v>
      </c>
    </row>
    <row r="147" spans="3:15" ht="13.5" thickBot="1">
      <c r="C147" s="857">
        <v>1</v>
      </c>
      <c r="D147" s="1227" t="s">
        <v>215</v>
      </c>
      <c r="E147" s="948"/>
      <c r="F147" s="948"/>
      <c r="G147" s="948"/>
      <c r="H147" s="948"/>
      <c r="I147" s="948"/>
      <c r="J147" s="948"/>
      <c r="K147" s="1111"/>
      <c r="L147" s="1111"/>
      <c r="M147" s="1111"/>
      <c r="N147" s="1111"/>
      <c r="O147" s="1111"/>
    </row>
    <row r="148" spans="3:15" ht="13" thickBot="1">
      <c r="C148" s="857">
        <f>C147+1</f>
        <v>2</v>
      </c>
      <c r="D148" s="1228" t="s">
        <v>666</v>
      </c>
      <c r="E148" s="1229">
        <v>39969</v>
      </c>
      <c r="F148" s="1230">
        <v>39971</v>
      </c>
      <c r="G148" s="1230">
        <v>39968</v>
      </c>
      <c r="H148" s="1230">
        <v>40001</v>
      </c>
      <c r="I148" s="1230">
        <v>40065</v>
      </c>
      <c r="J148" s="1230">
        <v>40093</v>
      </c>
      <c r="K148" s="1230">
        <v>40093</v>
      </c>
      <c r="L148" s="1230">
        <v>40183</v>
      </c>
      <c r="M148" s="1230">
        <v>40213</v>
      </c>
      <c r="N148" s="1230">
        <v>40214</v>
      </c>
      <c r="O148" s="1231">
        <v>40242</v>
      </c>
    </row>
    <row r="149" spans="3:15" ht="13" thickBot="1">
      <c r="C149" s="857">
        <f t="shared" ref="C149:C163" si="1">C148+1</f>
        <v>3</v>
      </c>
      <c r="D149" s="1228" t="s">
        <v>668</v>
      </c>
      <c r="E149" s="1232">
        <v>34</v>
      </c>
      <c r="F149" s="1233">
        <v>15</v>
      </c>
      <c r="G149" s="1233">
        <v>16</v>
      </c>
      <c r="H149" s="1233">
        <v>71</v>
      </c>
      <c r="I149" s="1233">
        <v>23</v>
      </c>
      <c r="J149" s="1233">
        <v>42</v>
      </c>
      <c r="K149" s="1234">
        <v>82</v>
      </c>
      <c r="L149" s="1234">
        <v>76</v>
      </c>
      <c r="M149" s="1234">
        <v>99</v>
      </c>
      <c r="N149" s="1234">
        <v>12</v>
      </c>
      <c r="O149" s="1235">
        <v>3</v>
      </c>
    </row>
    <row r="150" spans="3:15">
      <c r="C150" s="857">
        <f t="shared" si="1"/>
        <v>4</v>
      </c>
      <c r="D150" s="857"/>
      <c r="E150" s="1216"/>
      <c r="F150" s="1216"/>
      <c r="G150" s="1216"/>
      <c r="H150" s="1216"/>
      <c r="I150" s="1216"/>
      <c r="J150" s="1216"/>
      <c r="K150" s="1218"/>
      <c r="L150" s="1218"/>
      <c r="M150" s="1218"/>
      <c r="N150" s="1218"/>
      <c r="O150" s="1218"/>
    </row>
    <row r="151" spans="3:15" ht="13">
      <c r="C151" s="857">
        <f t="shared" si="1"/>
        <v>5</v>
      </c>
      <c r="D151" s="1730" t="s">
        <v>212</v>
      </c>
      <c r="E151" s="1730"/>
      <c r="F151" s="1731"/>
      <c r="G151" s="857"/>
      <c r="H151" s="808"/>
      <c r="I151" s="808"/>
      <c r="J151" s="808"/>
      <c r="K151" s="808"/>
      <c r="L151" s="808"/>
      <c r="M151" s="808"/>
      <c r="N151" s="808"/>
      <c r="O151" s="808"/>
    </row>
    <row r="152" spans="3:15" ht="13" thickBot="1">
      <c r="C152" s="857">
        <f t="shared" si="1"/>
        <v>6</v>
      </c>
      <c r="D152" s="948" t="s">
        <v>213</v>
      </c>
      <c r="E152" s="948" t="s">
        <v>214</v>
      </c>
      <c r="F152" s="857" t="s">
        <v>778</v>
      </c>
      <c r="G152" s="808"/>
      <c r="H152" s="808"/>
      <c r="I152" s="808"/>
      <c r="J152" s="808"/>
      <c r="K152" s="808"/>
      <c r="L152" s="808"/>
      <c r="M152" s="808"/>
      <c r="N152" s="808"/>
      <c r="O152" s="808"/>
    </row>
    <row r="153" spans="3:15" ht="13" thickBot="1">
      <c r="C153" s="949">
        <f t="shared" si="1"/>
        <v>7</v>
      </c>
      <c r="D153" s="1222">
        <v>39965</v>
      </c>
      <c r="E153" s="1223">
        <v>39994</v>
      </c>
      <c r="F153" s="1224">
        <f>SUMPRODUCT(($E$148:$O$148&gt;=D153)*($E$148:$O$148&lt;=E153)*($E$149:$O$149))</f>
        <v>65</v>
      </c>
      <c r="G153" s="1036" t="s">
        <v>216</v>
      </c>
      <c r="H153" s="808"/>
      <c r="I153" s="808"/>
      <c r="J153" s="808"/>
      <c r="K153" s="808"/>
      <c r="L153" s="808"/>
      <c r="M153" s="808"/>
      <c r="N153" s="808"/>
      <c r="O153" s="808"/>
    </row>
    <row r="154" spans="3:15">
      <c r="C154" s="857">
        <f t="shared" si="1"/>
        <v>8</v>
      </c>
      <c r="D154" s="1225">
        <v>39995</v>
      </c>
      <c r="E154" s="1225">
        <v>40025</v>
      </c>
      <c r="F154" s="1224">
        <f t="shared" ref="F154:F162" si="2">SUMPRODUCT(($E$148:$O$148&gt;=D154)*($E$148:$O$148&lt;=E154)*($E$149:$O$149))</f>
        <v>71</v>
      </c>
      <c r="G154" s="808"/>
      <c r="H154" s="808"/>
      <c r="I154" s="808"/>
      <c r="J154" s="808"/>
      <c r="K154" s="1729"/>
      <c r="L154" s="1729"/>
      <c r="M154" s="808"/>
      <c r="N154" s="808"/>
      <c r="O154" s="808"/>
    </row>
    <row r="155" spans="3:15">
      <c r="C155" s="857">
        <f t="shared" si="1"/>
        <v>9</v>
      </c>
      <c r="D155" s="1226">
        <v>40026</v>
      </c>
      <c r="E155" s="1226">
        <v>40056</v>
      </c>
      <c r="F155" s="1224">
        <f t="shared" si="2"/>
        <v>0</v>
      </c>
      <c r="G155" s="808"/>
      <c r="H155" s="808"/>
      <c r="I155" s="808"/>
      <c r="J155" s="808"/>
      <c r="K155" s="857"/>
      <c r="L155" s="857"/>
      <c r="M155" s="791"/>
      <c r="N155" s="808"/>
      <c r="O155" s="808"/>
    </row>
    <row r="156" spans="3:15">
      <c r="C156" s="857">
        <f t="shared" si="1"/>
        <v>10</v>
      </c>
      <c r="D156" s="1226">
        <v>40057</v>
      </c>
      <c r="E156" s="1226">
        <v>40086</v>
      </c>
      <c r="F156" s="1224">
        <f t="shared" si="2"/>
        <v>23</v>
      </c>
      <c r="G156" s="808"/>
      <c r="H156" s="808"/>
      <c r="I156" s="808"/>
      <c r="J156" s="808"/>
      <c r="K156" s="1226"/>
      <c r="L156" s="808"/>
      <c r="M156" s="791"/>
      <c r="N156" s="808"/>
      <c r="O156" s="808"/>
    </row>
    <row r="157" spans="3:15">
      <c r="C157" s="857">
        <f t="shared" si="1"/>
        <v>11</v>
      </c>
      <c r="D157" s="1226">
        <v>40087</v>
      </c>
      <c r="E157" s="1226">
        <v>40117</v>
      </c>
      <c r="F157" s="1224">
        <f t="shared" si="2"/>
        <v>124</v>
      </c>
      <c r="G157" s="808"/>
      <c r="H157" s="808"/>
      <c r="I157" s="808"/>
      <c r="J157" s="808"/>
      <c r="K157" s="1226"/>
      <c r="L157" s="808"/>
      <c r="M157" s="791"/>
      <c r="N157" s="808"/>
      <c r="O157" s="808"/>
    </row>
    <row r="158" spans="3:15">
      <c r="C158" s="857">
        <f t="shared" si="1"/>
        <v>12</v>
      </c>
      <c r="D158" s="1226">
        <v>40118</v>
      </c>
      <c r="E158" s="1226">
        <v>40147</v>
      </c>
      <c r="F158" s="1224">
        <f t="shared" si="2"/>
        <v>0</v>
      </c>
      <c r="G158" s="808"/>
      <c r="H158" s="808"/>
      <c r="I158" s="808"/>
      <c r="J158" s="808"/>
      <c r="K158" s="1226"/>
      <c r="L158" s="808"/>
      <c r="M158" s="791"/>
      <c r="N158" s="808"/>
      <c r="O158" s="808"/>
    </row>
    <row r="159" spans="3:15">
      <c r="C159" s="857">
        <f t="shared" si="1"/>
        <v>13</v>
      </c>
      <c r="D159" s="1226">
        <v>40148</v>
      </c>
      <c r="E159" s="1226">
        <v>40178</v>
      </c>
      <c r="F159" s="1224">
        <f t="shared" si="2"/>
        <v>0</v>
      </c>
      <c r="G159" s="808"/>
      <c r="H159" s="808"/>
      <c r="I159" s="808"/>
      <c r="J159" s="808"/>
      <c r="K159" s="1226"/>
      <c r="L159" s="808"/>
      <c r="M159" s="791"/>
      <c r="N159" s="808"/>
      <c r="O159" s="808"/>
    </row>
    <row r="160" spans="3:15">
      <c r="C160" s="857">
        <f t="shared" si="1"/>
        <v>14</v>
      </c>
      <c r="D160" s="1226">
        <v>40179</v>
      </c>
      <c r="E160" s="1226">
        <v>40209</v>
      </c>
      <c r="F160" s="1224">
        <f t="shared" si="2"/>
        <v>76</v>
      </c>
      <c r="G160" s="808"/>
      <c r="H160" s="808"/>
      <c r="I160" s="808"/>
      <c r="J160" s="808"/>
      <c r="K160" s="1226"/>
      <c r="L160" s="808"/>
      <c r="M160" s="791"/>
      <c r="N160" s="808"/>
      <c r="O160" s="808"/>
    </row>
    <row r="161" spans="3:15">
      <c r="C161" s="857">
        <f t="shared" si="1"/>
        <v>15</v>
      </c>
      <c r="D161" s="1226">
        <v>40210</v>
      </c>
      <c r="E161" s="1226">
        <v>40237</v>
      </c>
      <c r="F161" s="1224">
        <f t="shared" si="2"/>
        <v>111</v>
      </c>
      <c r="G161" s="808"/>
      <c r="H161" s="808"/>
      <c r="I161" s="808"/>
      <c r="J161" s="808"/>
      <c r="K161" s="1226"/>
      <c r="L161" s="808"/>
      <c r="M161" s="791"/>
      <c r="N161" s="808"/>
      <c r="O161" s="808"/>
    </row>
    <row r="162" spans="3:15">
      <c r="C162" s="857">
        <f t="shared" si="1"/>
        <v>16</v>
      </c>
      <c r="D162" s="1226">
        <v>40238</v>
      </c>
      <c r="E162" s="1226">
        <v>40268</v>
      </c>
      <c r="F162" s="1224">
        <f t="shared" si="2"/>
        <v>3</v>
      </c>
      <c r="G162" s="808"/>
      <c r="H162" s="808"/>
      <c r="I162" s="808"/>
      <c r="J162" s="808"/>
      <c r="K162" s="1226"/>
      <c r="L162" s="808"/>
      <c r="M162" s="791"/>
      <c r="N162" s="808"/>
      <c r="O162" s="808"/>
    </row>
    <row r="163" spans="3:15">
      <c r="C163" s="857">
        <f t="shared" si="1"/>
        <v>17</v>
      </c>
      <c r="D163" s="1226"/>
      <c r="E163" s="808"/>
      <c r="F163" s="808"/>
      <c r="G163" s="808"/>
      <c r="H163" s="808"/>
      <c r="I163" s="808"/>
      <c r="J163" s="808"/>
      <c r="K163" s="1226"/>
      <c r="L163" s="808"/>
      <c r="M163" s="791"/>
      <c r="N163" s="808"/>
      <c r="O163" s="808"/>
    </row>
    <row r="164" spans="3:15"/>
    <row r="165" spans="3:15">
      <c r="C165" s="1585" t="s">
        <v>847</v>
      </c>
      <c r="D165" s="1585"/>
      <c r="E165" s="1585"/>
      <c r="F165" s="1585"/>
      <c r="G165" s="1585"/>
      <c r="H165" s="1585"/>
      <c r="I165" s="1585"/>
      <c r="J165" s="1585"/>
      <c r="K165" s="1585"/>
      <c r="L165" s="1585"/>
      <c r="M165" s="1585"/>
      <c r="N165" s="1585"/>
      <c r="O165" s="1585"/>
    </row>
    <row r="166" spans="3:15">
      <c r="C166" s="1585"/>
      <c r="D166" s="1585"/>
      <c r="E166" s="1585"/>
      <c r="F166" s="1585"/>
      <c r="G166" s="1585"/>
      <c r="H166" s="1585"/>
      <c r="I166" s="1585"/>
      <c r="J166" s="1585"/>
      <c r="K166" s="1585"/>
      <c r="L166" s="1585"/>
      <c r="M166" s="1585"/>
      <c r="N166" s="1585"/>
      <c r="O166" s="1585"/>
    </row>
    <row r="167" spans="3:15">
      <c r="C167" s="1585"/>
      <c r="D167" s="1585"/>
      <c r="E167" s="1585"/>
      <c r="F167" s="1585"/>
      <c r="G167" s="1585"/>
      <c r="H167" s="1585"/>
      <c r="I167" s="1585"/>
      <c r="J167" s="1585"/>
      <c r="K167" s="1585"/>
      <c r="L167" s="1585"/>
      <c r="M167" s="1585"/>
      <c r="N167" s="1585"/>
      <c r="O167" s="1585"/>
    </row>
    <row r="323" spans="3:14">
      <c r="C323" s="1700" t="s">
        <v>838</v>
      </c>
      <c r="D323" s="1700"/>
      <c r="E323" s="1700"/>
      <c r="F323" s="1700"/>
      <c r="G323" s="1700"/>
      <c r="H323" s="1700"/>
      <c r="I323" s="1700"/>
      <c r="J323" s="1700"/>
      <c r="K323" s="1700"/>
      <c r="L323" s="1700"/>
      <c r="M323" s="1700"/>
      <c r="N323" s="1700"/>
    </row>
    <row r="324" spans="3:14"/>
    <row r="394" spans="3:15">
      <c r="C394" s="1697" t="str">
        <f>back_to_index</f>
        <v>Back to contents</v>
      </c>
      <c r="D394" s="1697"/>
      <c r="G394" s="1530" t="str">
        <f>page_prefix &amp; page_fn_SUMPRODUCT&amp; page_suffix</f>
        <v>- Page 36 -</v>
      </c>
      <c r="H394" s="1530"/>
      <c r="I394" s="1530"/>
      <c r="J394" s="1481"/>
      <c r="K394" s="1481"/>
      <c r="N394" s="1711" t="str">
        <f>back_to_top</f>
        <v>Back to top</v>
      </c>
      <c r="O394" s="1711"/>
    </row>
    <row r="395" spans="3:15">
      <c r="G395" s="1530" t="str">
        <f>copyright</f>
        <v>Copyright (c) 2009 Tykoh Group Pty Limited</v>
      </c>
      <c r="H395" s="1530"/>
      <c r="I395" s="1530"/>
      <c r="J395" s="1481"/>
      <c r="K395" s="1481"/>
    </row>
    <row r="396" spans="3:15">
      <c r="G396" s="1452" t="str">
        <f>home_address</f>
        <v>www.tykoh.com</v>
      </c>
      <c r="H396" s="1452"/>
      <c r="I396" s="1452"/>
      <c r="J396" s="1452"/>
      <c r="K396" s="1452"/>
    </row>
    <row r="397" spans="3:15"/>
  </sheetData>
  <sheetProtection algorithmName="SHA-512" hashValue="9DNRccMv+wWK1x3mYqsRJr9nzRamQBfmP4lg0Nw6VKysNoLMzroSXlFkezR6m5yV/rRkS1SqZllfjWeUuHjjhQ==" saltValue="q2Vena5BqkuNCClV3lAGsg==" spinCount="100000" sheet="1" objects="1" scenarios="1"/>
  <mergeCells count="42">
    <mergeCell ref="G396:K396"/>
    <mergeCell ref="C394:D394"/>
    <mergeCell ref="G394:K394"/>
    <mergeCell ref="C62:O63"/>
    <mergeCell ref="C65:O66"/>
    <mergeCell ref="C76:O77"/>
    <mergeCell ref="M68:O72"/>
    <mergeCell ref="D151:F151"/>
    <mergeCell ref="G395:K395"/>
    <mergeCell ref="E113:F113"/>
    <mergeCell ref="C323:N323"/>
    <mergeCell ref="C127:O128"/>
    <mergeCell ref="C136:O136"/>
    <mergeCell ref="C138:O139"/>
    <mergeCell ref="C141:O142"/>
    <mergeCell ref="C144:O144"/>
    <mergeCell ref="N394:O394"/>
    <mergeCell ref="C14:O15"/>
    <mergeCell ref="C30:O31"/>
    <mergeCell ref="M33:O37"/>
    <mergeCell ref="C41:O43"/>
    <mergeCell ref="C131:L134"/>
    <mergeCell ref="M131:O135"/>
    <mergeCell ref="C109:O110"/>
    <mergeCell ref="E86:F86"/>
    <mergeCell ref="H86:I86"/>
    <mergeCell ref="K154:L154"/>
    <mergeCell ref="C46:O46"/>
    <mergeCell ref="C55:O56"/>
    <mergeCell ref="C165:O167"/>
    <mergeCell ref="M4:O8"/>
    <mergeCell ref="C4:K9"/>
    <mergeCell ref="C79:O80"/>
    <mergeCell ref="C82:O83"/>
    <mergeCell ref="C58:O59"/>
    <mergeCell ref="C11:O12"/>
    <mergeCell ref="C24:O27"/>
    <mergeCell ref="H113:I113"/>
    <mergeCell ref="C124:O125"/>
    <mergeCell ref="M112:O116"/>
    <mergeCell ref="C103:O105"/>
    <mergeCell ref="C106:O107"/>
  </mergeCells>
  <phoneticPr fontId="2" type="noConversion"/>
  <hyperlinks>
    <hyperlink ref="C323:N323" location="hh_Combine_2" display="[For an example showing the SUMPRODUCT function used with another function in a more complex application click here]" xr:uid="{00000000-0004-0000-3000-000000000000}"/>
    <hyperlink ref="N394:O394" location="hh_fn_SUMPRODUCT" display="hh_fn_SUMPRODUCT" xr:uid="{00000000-0004-0000-3000-000001000000}"/>
    <hyperlink ref="C394:D394" location="hh_index" display="hh_index" xr:uid="{00000000-0004-0000-3000-000002000000}"/>
    <hyperlink ref="G396:K396" r:id="rId1" display="https://www.tykoh.com/" xr:uid="{00000000-0004-0000-3000-000003000000}"/>
  </hyperlinks>
  <pageMargins left="0.75" right="0.75" top="1" bottom="1" header="0.5" footer="0.5"/>
  <pageSetup scale="72" fitToHeight="3" orientation="portrait" r:id="rId2"/>
  <headerFooter alignWithMargins="0"/>
  <rowBreaks count="1" manualBreakCount="1">
    <brk id="66" max="15"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C1:Q54"/>
  <sheetViews>
    <sheetView showGridLines="0" showRowColHeaders="0" workbookViewId="0"/>
  </sheetViews>
  <sheetFormatPr defaultColWidth="0" defaultRowHeight="12.5" zeroHeight="1"/>
  <cols>
    <col min="1" max="2" width="1" style="32" customWidth="1"/>
    <col min="3" max="3" width="10.1796875" style="32" hidden="1" customWidth="1"/>
    <col min="4" max="4" width="9.1796875" style="32" customWidth="1"/>
    <col min="5" max="5" width="9.1796875" style="428" customWidth="1"/>
    <col min="6" max="16" width="9.1796875" style="32" customWidth="1"/>
    <col min="17" max="17" width="1.81640625" style="32" customWidth="1"/>
    <col min="18" max="16384" width="0" style="32" hidden="1"/>
  </cols>
  <sheetData>
    <row r="1" spans="3:17"/>
    <row r="2" spans="3:17">
      <c r="D2" s="103"/>
      <c r="E2" s="538"/>
      <c r="F2" s="103"/>
      <c r="G2" s="103"/>
      <c r="H2" s="1494"/>
      <c r="I2" s="1494"/>
      <c r="J2" s="1494"/>
      <c r="K2" s="1494"/>
      <c r="L2" s="1494"/>
      <c r="M2" s="103"/>
      <c r="N2" s="103"/>
      <c r="O2" s="103"/>
      <c r="P2" s="103"/>
    </row>
    <row r="3" spans="3:17" ht="16" thickBot="1">
      <c r="D3" s="416" t="s">
        <v>1385</v>
      </c>
      <c r="N3" s="1315"/>
      <c r="O3" s="1315"/>
      <c r="P3" s="1315"/>
    </row>
    <row r="4" spans="3:17" ht="13" thickTop="1">
      <c r="N4" s="1521" t="str">
        <f ca="1">OFFSET(ad_first,OFFSET(ads_top,ROW(ads_charting)-1,1),0)</f>
        <v>Learn the objectives, principles and methods of financial modelling by attending our financial modelling workshop</v>
      </c>
      <c r="O4" s="1522"/>
      <c r="P4" s="1523"/>
    </row>
    <row r="5" spans="3:17" ht="13">
      <c r="D5" s="772" t="s">
        <v>480</v>
      </c>
      <c r="N5" s="1524"/>
      <c r="O5" s="1525"/>
      <c r="P5" s="1526"/>
    </row>
    <row r="6" spans="3:17">
      <c r="D6" s="1493" t="s">
        <v>479</v>
      </c>
      <c r="E6" s="1493"/>
      <c r="F6" s="1493"/>
      <c r="G6" s="1493"/>
      <c r="H6" s="1493"/>
      <c r="I6" s="1493"/>
      <c r="J6" s="1493"/>
      <c r="K6" s="1493"/>
      <c r="L6" s="1493"/>
      <c r="M6" s="75"/>
      <c r="N6" s="1524"/>
      <c r="O6" s="1525"/>
      <c r="P6" s="1526"/>
    </row>
    <row r="7" spans="3:17">
      <c r="D7" s="1493"/>
      <c r="E7" s="1493"/>
      <c r="F7" s="1493"/>
      <c r="G7" s="1493"/>
      <c r="H7" s="1493"/>
      <c r="I7" s="1493"/>
      <c r="J7" s="1493"/>
      <c r="K7" s="1493"/>
      <c r="L7" s="1493"/>
      <c r="M7" s="75"/>
      <c r="N7" s="1524"/>
      <c r="O7" s="1525"/>
      <c r="P7" s="1526"/>
    </row>
    <row r="8" spans="3:17" ht="13" thickBot="1">
      <c r="D8" s="1493"/>
      <c r="E8" s="1493"/>
      <c r="F8" s="1493"/>
      <c r="G8" s="1493"/>
      <c r="H8" s="1493"/>
      <c r="I8" s="1493"/>
      <c r="J8" s="1493"/>
      <c r="K8" s="1493"/>
      <c r="L8" s="1493"/>
      <c r="M8" s="75"/>
      <c r="N8" s="1527"/>
      <c r="O8" s="1528"/>
      <c r="P8" s="1529"/>
    </row>
    <row r="9" spans="3:17" ht="13.5" thickTop="1">
      <c r="D9" s="128" t="str">
        <f>functions_used_2</f>
        <v>Spreadsheet functions used in these examples</v>
      </c>
      <c r="E9" s="75"/>
      <c r="F9" s="75"/>
      <c r="G9" s="75"/>
      <c r="H9" s="75"/>
      <c r="I9" s="75"/>
      <c r="J9" s="75"/>
      <c r="K9" s="75"/>
      <c r="L9" s="75"/>
      <c r="M9" s="75"/>
      <c r="N9" s="1310"/>
      <c r="O9" s="1311"/>
      <c r="P9" s="1311"/>
    </row>
    <row r="10" spans="3:17">
      <c r="D10" s="80" t="str">
        <f>functions_charting</f>
        <v>Conditional format, MATCH, MAX, MIN, OFFSET, ROW, TEXT</v>
      </c>
      <c r="E10" s="80"/>
      <c r="F10" s="80"/>
      <c r="G10" s="80"/>
      <c r="H10" s="80"/>
      <c r="I10" s="80"/>
      <c r="J10" s="80"/>
      <c r="K10" s="80"/>
      <c r="L10" s="80"/>
      <c r="M10" s="80"/>
      <c r="N10" s="80"/>
      <c r="O10" s="80"/>
      <c r="P10" s="80"/>
    </row>
    <row r="11" spans="3:17" ht="6.75" customHeight="1"/>
    <row r="12" spans="3:17">
      <c r="D12" s="1539" t="s">
        <v>1536</v>
      </c>
      <c r="E12" s="1539"/>
      <c r="F12" s="1539"/>
      <c r="G12" s="1539"/>
      <c r="H12" s="1539"/>
      <c r="I12" s="1539"/>
      <c r="J12" s="1539"/>
      <c r="K12" s="1539"/>
      <c r="L12" s="1539"/>
      <c r="M12" s="1539"/>
      <c r="N12" s="1539"/>
      <c r="O12" s="1539"/>
      <c r="P12" s="1539"/>
    </row>
    <row r="13" spans="3:17" ht="6.75" customHeight="1">
      <c r="E13" s="32"/>
      <c r="J13" s="73"/>
      <c r="K13" s="73"/>
    </row>
    <row r="14" spans="3:17">
      <c r="C14" s="539">
        <f>Charting_calcs!A2</f>
        <v>40073</v>
      </c>
      <c r="D14" s="444" t="s">
        <v>1391</v>
      </c>
      <c r="E14" s="540">
        <v>40073</v>
      </c>
      <c r="F14" s="80"/>
      <c r="G14" s="80"/>
      <c r="H14" s="80"/>
      <c r="K14" s="541">
        <f>MIN(O14,O15)</f>
        <v>1</v>
      </c>
      <c r="L14" s="542" t="s">
        <v>492</v>
      </c>
      <c r="M14" s="542"/>
      <c r="N14" s="542"/>
      <c r="O14" s="542">
        <f>MATCH(E14,Charting_calcs!A2:A40,0)</f>
        <v>1</v>
      </c>
      <c r="P14" s="542"/>
      <c r="Q14" s="542" t="s">
        <v>493</v>
      </c>
    </row>
    <row r="15" spans="3:17">
      <c r="C15" s="539">
        <f>Charting_calcs!A4</f>
        <v>40077</v>
      </c>
      <c r="D15" s="447" t="s">
        <v>494</v>
      </c>
      <c r="E15" s="543">
        <v>40126</v>
      </c>
      <c r="F15" s="80"/>
      <c r="G15" s="80"/>
      <c r="H15" s="80"/>
      <c r="K15" s="541">
        <f>MAX(O14,O15)</f>
        <v>38</v>
      </c>
      <c r="L15" s="542" t="s">
        <v>495</v>
      </c>
      <c r="M15" s="542"/>
      <c r="N15" s="542"/>
      <c r="O15" s="542">
        <f>MATCH(E15,Charting_calcs!A2:A40,0)</f>
        <v>38</v>
      </c>
      <c r="P15" s="542"/>
      <c r="Q15" s="542" t="s">
        <v>496</v>
      </c>
    </row>
    <row r="16" spans="3:17" ht="6.75" customHeight="1">
      <c r="C16" s="539">
        <f>Charting_calcs!A5</f>
        <v>40078</v>
      </c>
    </row>
    <row r="17" spans="3:5">
      <c r="C17" s="539">
        <f>Charting_calcs!A6</f>
        <v>40079</v>
      </c>
    </row>
    <row r="18" spans="3:5">
      <c r="C18" s="539">
        <f>Charting_calcs!A7</f>
        <v>40080</v>
      </c>
      <c r="E18" s="32"/>
    </row>
    <row r="19" spans="3:5">
      <c r="C19" s="539">
        <f>Charting_calcs!A8</f>
        <v>40081</v>
      </c>
    </row>
    <row r="20" spans="3:5">
      <c r="C20" s="539">
        <f>Charting_calcs!A9</f>
        <v>40084</v>
      </c>
    </row>
    <row r="21" spans="3:5">
      <c r="C21" s="539">
        <f>Charting_calcs!A10</f>
        <v>40085</v>
      </c>
    </row>
    <row r="22" spans="3:5">
      <c r="C22" s="539">
        <f>Charting_calcs!A11</f>
        <v>40086</v>
      </c>
    </row>
    <row r="23" spans="3:5">
      <c r="C23" s="539">
        <f>Charting_calcs!A12</f>
        <v>40087</v>
      </c>
    </row>
    <row r="24" spans="3:5">
      <c r="C24" s="539">
        <f>Charting_calcs!A13</f>
        <v>40088</v>
      </c>
    </row>
    <row r="25" spans="3:5">
      <c r="C25" s="539">
        <f>Charting_calcs!A14</f>
        <v>40091</v>
      </c>
    </row>
    <row r="26" spans="3:5">
      <c r="C26" s="539">
        <f>Charting_calcs!A15</f>
        <v>40092</v>
      </c>
    </row>
    <row r="27" spans="3:5">
      <c r="C27" s="539">
        <f>Charting_calcs!A16</f>
        <v>40093</v>
      </c>
    </row>
    <row r="28" spans="3:5">
      <c r="C28" s="539">
        <f>Charting_calcs!A17</f>
        <v>40094</v>
      </c>
    </row>
    <row r="29" spans="3:5">
      <c r="C29" s="539">
        <f>Charting_calcs!A18</f>
        <v>40095</v>
      </c>
    </row>
    <row r="30" spans="3:5">
      <c r="C30" s="539">
        <f>Charting_calcs!A19</f>
        <v>40098</v>
      </c>
    </row>
    <row r="31" spans="3:5">
      <c r="C31" s="539">
        <f>Charting_calcs!A20</f>
        <v>40099</v>
      </c>
    </row>
    <row r="32" spans="3:5">
      <c r="C32" s="539">
        <f>Charting_calcs!A21</f>
        <v>40100</v>
      </c>
    </row>
    <row r="33" spans="3:16">
      <c r="C33" s="539">
        <f>Charting_calcs!A22</f>
        <v>40101</v>
      </c>
    </row>
    <row r="34" spans="3:16">
      <c r="C34" s="539">
        <f>Charting_calcs!A23</f>
        <v>40102</v>
      </c>
    </row>
    <row r="35" spans="3:16">
      <c r="C35" s="539">
        <f>Charting_calcs!A24</f>
        <v>40105</v>
      </c>
      <c r="D35" s="1539" t="s">
        <v>1539</v>
      </c>
      <c r="E35" s="1539"/>
      <c r="F35" s="1539"/>
      <c r="G35" s="1539"/>
      <c r="H35" s="1539"/>
      <c r="I35" s="1539"/>
      <c r="J35" s="1539"/>
      <c r="K35" s="1539"/>
      <c r="L35" s="1539"/>
      <c r="M35" s="1539"/>
      <c r="N35" s="1539"/>
      <c r="O35" s="1539"/>
      <c r="P35" s="1539"/>
    </row>
    <row r="36" spans="3:16" ht="7.5" customHeight="1">
      <c r="C36" s="539">
        <f>Charting_calcs!A25</f>
        <v>40106</v>
      </c>
    </row>
    <row r="37" spans="3:16" ht="25">
      <c r="C37" s="539">
        <f>Charting_calcs!A26</f>
        <v>40107</v>
      </c>
      <c r="D37" s="620" t="s">
        <v>610</v>
      </c>
      <c r="E37" s="1540" t="s">
        <v>1537</v>
      </c>
      <c r="F37" s="1541"/>
      <c r="G37" s="1541"/>
      <c r="H37" s="1542"/>
      <c r="J37" s="551" t="s">
        <v>1538</v>
      </c>
      <c r="K37" s="621"/>
      <c r="L37" s="622" t="s">
        <v>497</v>
      </c>
    </row>
    <row r="38" spans="3:16">
      <c r="C38" s="539">
        <f>Charting_calcs!A27</f>
        <v>40108</v>
      </c>
      <c r="D38" s="544" t="s">
        <v>1363</v>
      </c>
      <c r="E38" s="545">
        <v>36</v>
      </c>
      <c r="F38" s="545">
        <v>4</v>
      </c>
      <c r="G38" s="545">
        <v>64</v>
      </c>
      <c r="H38" s="545">
        <v>47</v>
      </c>
    </row>
    <row r="39" spans="3:16">
      <c r="C39" s="539">
        <f>Charting_calcs!A28</f>
        <v>40109</v>
      </c>
      <c r="D39" s="544" t="s">
        <v>1364</v>
      </c>
      <c r="E39" s="545">
        <v>15</v>
      </c>
      <c r="F39" s="545">
        <v>82</v>
      </c>
      <c r="G39" s="545">
        <v>13</v>
      </c>
      <c r="H39" s="545">
        <v>25</v>
      </c>
    </row>
    <row r="40" spans="3:16">
      <c r="C40" s="539">
        <f>Charting_calcs!A29</f>
        <v>40112</v>
      </c>
      <c r="D40" s="544" t="s">
        <v>1473</v>
      </c>
      <c r="E40" s="545">
        <v>22</v>
      </c>
      <c r="F40" s="545">
        <v>44</v>
      </c>
      <c r="G40" s="545">
        <v>13</v>
      </c>
      <c r="H40" s="545">
        <v>93</v>
      </c>
      <c r="K40" s="32">
        <f ca="1">OFFSET(E38,$K$41,0)</f>
        <v>85</v>
      </c>
      <c r="L40" s="32">
        <f ca="1">OFFSET(F38,$K$41,0)</f>
        <v>95</v>
      </c>
      <c r="M40" s="32">
        <f ca="1">OFFSET(G38,$K$41,0)</f>
        <v>49</v>
      </c>
      <c r="N40" s="32">
        <f ca="1">OFFSET(H38,$K$41,0)</f>
        <v>51</v>
      </c>
    </row>
    <row r="41" spans="3:16">
      <c r="C41" s="539">
        <f>Charting_calcs!A30</f>
        <v>40113</v>
      </c>
      <c r="D41" s="544" t="s">
        <v>1474</v>
      </c>
      <c r="E41" s="545">
        <v>16</v>
      </c>
      <c r="F41" s="545">
        <v>5</v>
      </c>
      <c r="G41" s="545">
        <v>76</v>
      </c>
      <c r="H41" s="545">
        <v>88</v>
      </c>
      <c r="J41" s="32" t="s">
        <v>1516</v>
      </c>
      <c r="K41" s="32">
        <f>MATCH(L37,D38:D49,0)-1</f>
        <v>6</v>
      </c>
    </row>
    <row r="42" spans="3:16">
      <c r="C42" s="539">
        <f>Charting_calcs!A31</f>
        <v>40114</v>
      </c>
      <c r="D42" s="544" t="s">
        <v>1475</v>
      </c>
      <c r="E42" s="545">
        <v>72</v>
      </c>
      <c r="F42" s="545">
        <v>9</v>
      </c>
      <c r="G42" s="545">
        <v>17</v>
      </c>
      <c r="H42" s="545">
        <v>27</v>
      </c>
    </row>
    <row r="43" spans="3:16">
      <c r="C43" s="539">
        <f>Charting_calcs!A32</f>
        <v>40115</v>
      </c>
      <c r="D43" s="544" t="s">
        <v>1476</v>
      </c>
      <c r="E43" s="545">
        <v>31</v>
      </c>
      <c r="F43" s="545">
        <v>28</v>
      </c>
      <c r="G43" s="545">
        <v>47</v>
      </c>
      <c r="H43" s="545">
        <v>23</v>
      </c>
      <c r="J43" s="32" t="str">
        <f>"Series " &amp; L37</f>
        <v>Series G</v>
      </c>
    </row>
    <row r="44" spans="3:16">
      <c r="C44" s="539">
        <f>Charting_calcs!A33</f>
        <v>40116</v>
      </c>
      <c r="D44" s="544" t="s">
        <v>497</v>
      </c>
      <c r="E44" s="545">
        <v>85</v>
      </c>
      <c r="F44" s="545">
        <v>95</v>
      </c>
      <c r="G44" s="545">
        <v>49</v>
      </c>
      <c r="H44" s="545">
        <v>51</v>
      </c>
    </row>
    <row r="45" spans="3:16">
      <c r="C45" s="539">
        <f>Charting_calcs!A34</f>
        <v>40119</v>
      </c>
      <c r="D45" s="544" t="s">
        <v>1511</v>
      </c>
      <c r="E45" s="545">
        <v>28</v>
      </c>
      <c r="F45" s="545">
        <v>37</v>
      </c>
      <c r="G45" s="545">
        <v>43</v>
      </c>
      <c r="H45" s="545">
        <v>5</v>
      </c>
    </row>
    <row r="46" spans="3:16">
      <c r="C46" s="539">
        <f>Charting_calcs!A35</f>
        <v>40120</v>
      </c>
      <c r="D46" s="544" t="s">
        <v>1512</v>
      </c>
      <c r="E46" s="545">
        <v>90</v>
      </c>
      <c r="F46" s="545">
        <v>73</v>
      </c>
      <c r="G46" s="545">
        <v>69</v>
      </c>
      <c r="H46" s="545">
        <v>62</v>
      </c>
    </row>
    <row r="47" spans="3:16">
      <c r="C47" s="539">
        <f>Charting_calcs!A36</f>
        <v>40121</v>
      </c>
      <c r="D47" s="544" t="s">
        <v>1513</v>
      </c>
      <c r="E47" s="545">
        <v>8</v>
      </c>
      <c r="F47" s="545">
        <v>63</v>
      </c>
      <c r="G47" s="545">
        <v>10</v>
      </c>
      <c r="H47" s="545">
        <v>49</v>
      </c>
    </row>
    <row r="48" spans="3:16">
      <c r="C48" s="539">
        <f>Charting_calcs!A37</f>
        <v>40122</v>
      </c>
      <c r="D48" s="544" t="s">
        <v>1514</v>
      </c>
      <c r="E48" s="545">
        <v>63</v>
      </c>
      <c r="F48" s="545">
        <v>77</v>
      </c>
      <c r="G48" s="545">
        <v>52</v>
      </c>
      <c r="H48" s="545">
        <v>67</v>
      </c>
    </row>
    <row r="49" spans="3:17">
      <c r="C49" s="539">
        <f>Charting_calcs!A38</f>
        <v>40123</v>
      </c>
      <c r="D49" s="544" t="s">
        <v>1515</v>
      </c>
      <c r="E49" s="545">
        <v>8</v>
      </c>
      <c r="F49" s="545">
        <v>74</v>
      </c>
      <c r="G49" s="545">
        <v>85</v>
      </c>
      <c r="H49" s="545">
        <v>58</v>
      </c>
    </row>
    <row r="50" spans="3:17">
      <c r="C50" s="539">
        <f>Charting_calcs!A39</f>
        <v>40126</v>
      </c>
      <c r="D50" s="546"/>
      <c r="J50" s="345" t="e">
        <f ca="1">CF()</f>
        <v>#NAME?</v>
      </c>
    </row>
    <row r="51" spans="3:17">
      <c r="C51" s="539">
        <f>Charting_calcs!A40</f>
        <v>40127</v>
      </c>
      <c r="D51" s="1454" t="str">
        <f>back_to_index</f>
        <v>Back to contents</v>
      </c>
      <c r="E51" s="1454"/>
      <c r="H51" s="1530" t="str">
        <f>page_prefix &amp; page_Charting &amp; page_suffix</f>
        <v>- Page 5 -</v>
      </c>
      <c r="I51" s="1530"/>
      <c r="J51" s="1530"/>
      <c r="K51" s="1530"/>
      <c r="L51" s="1530"/>
      <c r="O51" s="1485" t="str">
        <f>back_to_top</f>
        <v>Back to top</v>
      </c>
      <c r="P51" s="1485"/>
      <c r="Q51" s="1485"/>
    </row>
    <row r="52" spans="3:17">
      <c r="H52" s="1530" t="str">
        <f>copyright</f>
        <v>Copyright (c) 2009 Tykoh Group Pty Limited</v>
      </c>
      <c r="I52" s="1530"/>
      <c r="J52" s="1530"/>
      <c r="K52" s="1530"/>
      <c r="L52" s="1530"/>
    </row>
    <row r="53" spans="3:17">
      <c r="H53" s="1452" t="str">
        <f>home_address</f>
        <v>www.tykoh.com</v>
      </c>
      <c r="I53" s="1452"/>
      <c r="J53" s="1452"/>
      <c r="K53" s="1452"/>
      <c r="L53" s="1452"/>
    </row>
    <row r="54" spans="3:17"/>
  </sheetData>
  <sheetProtection algorithmName="SHA-512" hashValue="EiFsZuJyxzILGXRyh/NjUwpkUJa64WEYk8QSqdV9cc9l6poBjqYvrLaRJgGFNc4QGxEKE9qdB83m1v8p17aiSA==" saltValue="3ZggBJoVFApOBA+byOnbVg==" spinCount="100000" sheet="1" objects="1" scenarios="1"/>
  <mergeCells count="11">
    <mergeCell ref="H2:L2"/>
    <mergeCell ref="D12:P12"/>
    <mergeCell ref="D35:P35"/>
    <mergeCell ref="E37:H37"/>
    <mergeCell ref="D6:L8"/>
    <mergeCell ref="N4:P8"/>
    <mergeCell ref="H52:L52"/>
    <mergeCell ref="H53:L53"/>
    <mergeCell ref="O51:Q51"/>
    <mergeCell ref="H51:L51"/>
    <mergeCell ref="D51:E51"/>
  </mergeCells>
  <phoneticPr fontId="2" type="noConversion"/>
  <conditionalFormatting sqref="D38:H49">
    <cfRule type="expression" dxfId="93" priority="1" stopIfTrue="1">
      <formula>$D38=$L$37</formula>
    </cfRule>
  </conditionalFormatting>
  <dataValidations count="2">
    <dataValidation type="list" allowBlank="1" showInputMessage="1" showErrorMessage="1" sqref="E14:E15" xr:uid="{00000000-0002-0000-0400-000000000000}">
      <formula1>$C$14:$C$51</formula1>
    </dataValidation>
    <dataValidation type="list" allowBlank="1" showInputMessage="1" showErrorMessage="1" sqref="L37 A51:B51" xr:uid="{00000000-0002-0000-0400-000001000000}">
      <formula1>$D$38:$D$49</formula1>
    </dataValidation>
  </dataValidations>
  <hyperlinks>
    <hyperlink ref="O51:Q51" location="hh_charting" display="hh_charting" xr:uid="{00000000-0004-0000-0400-000000000000}"/>
    <hyperlink ref="D51:E51" location="hh_index" display="hh_index" xr:uid="{00000000-0004-0000-0400-000001000000}"/>
    <hyperlink ref="H53:L53" r:id="rId1" display="https://www.tykoh.com/" xr:uid="{00000000-0004-0000-0400-000002000000}"/>
  </hyperlinks>
  <pageMargins left="0.75" right="0.75" top="1" bottom="1" header="0.5" footer="0.5"/>
  <pageSetup scale="74" orientation="portrait" r:id="rId2"/>
  <headerFooter alignWithMargins="0"/>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2"/>
  <dimension ref="A1:Q213"/>
  <sheetViews>
    <sheetView showGridLines="0" showRowColHeaders="0" zoomScaleNormal="100" workbookViewId="0">
      <selection activeCell="M200" sqref="M200:O204"/>
    </sheetView>
  </sheetViews>
  <sheetFormatPr defaultColWidth="0" defaultRowHeight="12.5" zeroHeight="1"/>
  <cols>
    <col min="1" max="2" width="1" style="25" customWidth="1"/>
    <col min="3" max="15" width="9.1796875" style="25" customWidth="1"/>
    <col min="16" max="16" width="1.81640625" style="25" customWidth="1"/>
    <col min="17" max="16384" width="0" style="25" hidden="1"/>
  </cols>
  <sheetData>
    <row r="1" spans="1:17"/>
    <row r="2" spans="1:17">
      <c r="C2" s="974"/>
      <c r="D2" s="974"/>
      <c r="E2" s="974"/>
      <c r="F2" s="974"/>
      <c r="G2" s="974"/>
      <c r="H2" s="974"/>
      <c r="I2" s="974"/>
      <c r="J2" s="974"/>
      <c r="K2" s="974"/>
      <c r="L2" s="974"/>
      <c r="M2" s="974"/>
      <c r="N2" s="974"/>
      <c r="O2" s="974"/>
    </row>
    <row r="3" spans="1:17" ht="16" thickBot="1">
      <c r="C3" s="901" t="s">
        <v>957</v>
      </c>
    </row>
    <row r="4" spans="1:17" ht="13" thickTop="1">
      <c r="A4" s="902"/>
      <c r="B4" s="902"/>
      <c r="C4" s="902"/>
      <c r="D4" s="902"/>
      <c r="E4" s="902"/>
      <c r="F4" s="902"/>
      <c r="G4" s="902"/>
      <c r="H4" s="902"/>
      <c r="I4" s="902"/>
      <c r="J4" s="902"/>
      <c r="K4" s="902"/>
      <c r="L4" s="902"/>
      <c r="M4" s="1521" t="str">
        <f ca="1">OFFSET(ad_first,OFFSET(ads_top,ROW(ads_fn_VLOOKUP)-1,1),0)</f>
        <v>Our courses are presented internationally.</v>
      </c>
      <c r="N4" s="1507"/>
      <c r="O4" s="1508"/>
      <c r="P4" s="903"/>
      <c r="Q4" s="903"/>
    </row>
    <row r="5" spans="1:17">
      <c r="A5" s="902"/>
      <c r="B5" s="1733" t="s">
        <v>13</v>
      </c>
      <c r="C5" s="1516"/>
      <c r="D5" s="1516"/>
      <c r="E5" s="1516"/>
      <c r="F5" s="1516"/>
      <c r="G5" s="1516"/>
      <c r="H5" s="1516"/>
      <c r="I5" s="1516"/>
      <c r="J5" s="1516"/>
      <c r="K5" s="1516"/>
      <c r="L5" s="1516"/>
      <c r="M5" s="1509"/>
      <c r="N5" s="1510"/>
      <c r="O5" s="1511"/>
      <c r="P5" s="903"/>
      <c r="Q5" s="903"/>
    </row>
    <row r="6" spans="1:17">
      <c r="A6" s="902"/>
      <c r="B6" s="1516"/>
      <c r="C6" s="1516"/>
      <c r="D6" s="1516"/>
      <c r="E6" s="1516"/>
      <c r="F6" s="1516"/>
      <c r="G6" s="1516"/>
      <c r="H6" s="1516"/>
      <c r="I6" s="1516"/>
      <c r="J6" s="1516"/>
      <c r="K6" s="1516"/>
      <c r="L6" s="1516"/>
      <c r="M6" s="1509"/>
      <c r="N6" s="1510"/>
      <c r="O6" s="1511"/>
      <c r="P6" s="903"/>
      <c r="Q6" s="903"/>
    </row>
    <row r="7" spans="1:17">
      <c r="A7" s="902"/>
      <c r="B7" s="1516"/>
      <c r="C7" s="1516"/>
      <c r="D7" s="1516"/>
      <c r="E7" s="1516"/>
      <c r="F7" s="1516"/>
      <c r="G7" s="1516"/>
      <c r="H7" s="1516"/>
      <c r="I7" s="1516"/>
      <c r="J7" s="1516"/>
      <c r="K7" s="1516"/>
      <c r="L7" s="1516"/>
      <c r="M7" s="1509"/>
      <c r="N7" s="1510"/>
      <c r="O7" s="1511"/>
      <c r="P7" s="903"/>
      <c r="Q7" s="903"/>
    </row>
    <row r="8" spans="1:17" ht="13" thickBot="1">
      <c r="A8" s="902"/>
      <c r="B8" s="902"/>
      <c r="C8" s="902"/>
      <c r="D8" s="902"/>
      <c r="E8" s="902"/>
      <c r="F8" s="902"/>
      <c r="G8" s="902"/>
      <c r="H8" s="902"/>
      <c r="I8" s="902"/>
      <c r="J8" s="902"/>
      <c r="K8" s="902"/>
      <c r="L8" s="902"/>
      <c r="M8" s="1512"/>
      <c r="N8" s="1513"/>
      <c r="O8" s="1514"/>
      <c r="P8" s="903"/>
      <c r="Q8" s="903"/>
    </row>
    <row r="9" spans="1:17" ht="13" thickTop="1">
      <c r="A9" s="902"/>
      <c r="B9" s="902"/>
      <c r="C9" s="1519" t="s">
        <v>715</v>
      </c>
      <c r="D9" s="1516"/>
      <c r="E9" s="1516"/>
      <c r="F9" s="1516"/>
      <c r="G9" s="1516"/>
      <c r="H9" s="1516"/>
      <c r="I9" s="1516"/>
      <c r="J9" s="1516"/>
      <c r="K9" s="1516"/>
      <c r="L9" s="1516"/>
      <c r="M9" s="1332"/>
      <c r="N9" s="1332"/>
      <c r="O9" s="1332"/>
      <c r="P9" s="903"/>
      <c r="Q9" s="903"/>
    </row>
    <row r="10" spans="1:17">
      <c r="A10" s="902"/>
      <c r="B10" s="902"/>
      <c r="C10" s="1516"/>
      <c r="D10" s="1516"/>
      <c r="E10" s="1516"/>
      <c r="F10" s="1516"/>
      <c r="G10" s="1516"/>
      <c r="H10" s="1516"/>
      <c r="I10" s="1516"/>
      <c r="J10" s="1516"/>
      <c r="K10" s="1516"/>
      <c r="L10" s="1516"/>
      <c r="M10" s="1332"/>
      <c r="N10" s="1332"/>
      <c r="O10" s="1332"/>
      <c r="P10" s="903"/>
      <c r="Q10" s="903"/>
    </row>
    <row r="11" spans="1:17">
      <c r="A11" s="902"/>
      <c r="B11" s="902"/>
      <c r="C11" s="902"/>
      <c r="D11" s="902"/>
      <c r="E11" s="902"/>
      <c r="F11" s="902"/>
      <c r="G11" s="902"/>
      <c r="H11" s="902"/>
      <c r="I11" s="902"/>
      <c r="J11" s="902"/>
      <c r="K11" s="902"/>
      <c r="L11" s="902"/>
      <c r="M11" s="902"/>
      <c r="N11" s="902"/>
      <c r="O11" s="903"/>
      <c r="P11" s="903"/>
      <c r="Q11" s="903"/>
    </row>
    <row r="12" spans="1:17">
      <c r="A12" s="903"/>
      <c r="B12" s="903"/>
      <c r="C12" s="904"/>
      <c r="D12" s="904" t="s">
        <v>1363</v>
      </c>
      <c r="E12" s="904" t="s">
        <v>1364</v>
      </c>
      <c r="F12" s="904" t="s">
        <v>1473</v>
      </c>
      <c r="G12" s="904" t="s">
        <v>1474</v>
      </c>
      <c r="H12" s="904" t="s">
        <v>1475</v>
      </c>
      <c r="I12" s="904" t="s">
        <v>1476</v>
      </c>
      <c r="J12" s="904" t="s">
        <v>497</v>
      </c>
      <c r="K12" s="904" t="s">
        <v>1511</v>
      </c>
      <c r="L12" s="905"/>
      <c r="M12" s="905"/>
      <c r="N12" s="902"/>
      <c r="O12" s="903"/>
      <c r="P12" s="903"/>
      <c r="Q12" s="903"/>
    </row>
    <row r="13" spans="1:17">
      <c r="C13" s="904">
        <v>1</v>
      </c>
      <c r="D13" s="906"/>
      <c r="E13" s="906"/>
      <c r="F13" s="906"/>
      <c r="G13" s="906"/>
      <c r="H13" s="906"/>
      <c r="I13" s="906"/>
      <c r="J13" s="1734" t="s">
        <v>729</v>
      </c>
      <c r="K13" s="1736"/>
      <c r="L13" s="905"/>
      <c r="M13" s="905"/>
      <c r="N13" s="26"/>
    </row>
    <row r="14" spans="1:17" ht="13" thickBot="1">
      <c r="C14" s="904">
        <v>2</v>
      </c>
      <c r="D14" s="907" t="s">
        <v>428</v>
      </c>
      <c r="E14" s="904" t="s">
        <v>429</v>
      </c>
      <c r="F14" s="906"/>
      <c r="G14" s="906"/>
      <c r="H14" s="906"/>
      <c r="I14" s="906"/>
      <c r="J14" s="908" t="s">
        <v>777</v>
      </c>
      <c r="K14" s="908" t="s">
        <v>429</v>
      </c>
      <c r="L14" s="909"/>
      <c r="M14" s="909"/>
      <c r="N14" s="26"/>
    </row>
    <row r="15" spans="1:17" ht="13" thickBot="1">
      <c r="C15" s="910">
        <v>3</v>
      </c>
      <c r="D15" s="911" t="s">
        <v>1364</v>
      </c>
      <c r="E15" s="912">
        <f>VLOOKUP(D15,J15:K19,2,FALSE)</f>
        <v>0.15</v>
      </c>
      <c r="F15" s="900" t="s">
        <v>1240</v>
      </c>
      <c r="G15" s="906"/>
      <c r="H15" s="906"/>
      <c r="I15" s="913"/>
      <c r="J15" s="914" t="s">
        <v>1363</v>
      </c>
      <c r="K15" s="915">
        <v>0.05</v>
      </c>
      <c r="L15" s="909"/>
      <c r="M15" s="909"/>
      <c r="N15" s="26"/>
    </row>
    <row r="16" spans="1:17">
      <c r="C16" s="904">
        <v>4</v>
      </c>
      <c r="D16" s="916"/>
      <c r="E16" s="906"/>
      <c r="F16" s="906"/>
      <c r="G16" s="906"/>
      <c r="H16" s="906"/>
      <c r="I16" s="913"/>
      <c r="J16" s="917" t="s">
        <v>1364</v>
      </c>
      <c r="K16" s="918">
        <v>0.15</v>
      </c>
      <c r="L16" s="909"/>
      <c r="M16" s="909"/>
      <c r="N16" s="26"/>
    </row>
    <row r="17" spans="3:15">
      <c r="C17" s="904">
        <v>5</v>
      </c>
      <c r="D17" s="906"/>
      <c r="E17" s="906"/>
      <c r="F17" s="906"/>
      <c r="G17" s="906"/>
      <c r="H17" s="906"/>
      <c r="I17" s="913"/>
      <c r="J17" s="917" t="s">
        <v>1473</v>
      </c>
      <c r="K17" s="918">
        <v>0.35</v>
      </c>
      <c r="L17" s="909"/>
      <c r="M17" s="909"/>
      <c r="N17" s="26"/>
    </row>
    <row r="18" spans="3:15">
      <c r="C18" s="904">
        <v>6</v>
      </c>
      <c r="D18" s="906"/>
      <c r="E18" s="906"/>
      <c r="F18" s="906"/>
      <c r="G18" s="906"/>
      <c r="H18" s="906"/>
      <c r="I18" s="913"/>
      <c r="J18" s="917" t="s">
        <v>1474</v>
      </c>
      <c r="K18" s="918">
        <v>0.42</v>
      </c>
      <c r="L18" s="909"/>
      <c r="M18" s="909"/>
      <c r="N18" s="26"/>
    </row>
    <row r="19" spans="3:15" ht="13" thickBot="1">
      <c r="C19" s="904">
        <v>7</v>
      </c>
      <c r="D19" s="906"/>
      <c r="E19" s="906"/>
      <c r="F19" s="906"/>
      <c r="G19" s="906"/>
      <c r="H19" s="906"/>
      <c r="I19" s="913"/>
      <c r="J19" s="919" t="s">
        <v>1475</v>
      </c>
      <c r="K19" s="920">
        <v>0.47</v>
      </c>
      <c r="L19" s="909"/>
      <c r="M19" s="909"/>
      <c r="N19" s="26"/>
    </row>
    <row r="20" spans="3:15">
      <c r="C20" s="904">
        <v>8</v>
      </c>
      <c r="D20" s="906"/>
      <c r="E20" s="906"/>
      <c r="F20" s="906"/>
      <c r="G20" s="906"/>
      <c r="H20" s="906"/>
      <c r="I20" s="906"/>
      <c r="J20" s="921"/>
      <c r="K20" s="921"/>
      <c r="L20" s="909"/>
      <c r="M20" s="909"/>
      <c r="N20" s="26"/>
    </row>
    <row r="21" spans="3:15">
      <c r="J21" s="922"/>
      <c r="K21" s="922"/>
      <c r="L21" s="922"/>
      <c r="M21" s="922"/>
    </row>
    <row r="22" spans="3:15">
      <c r="C22" s="1732" t="s">
        <v>761</v>
      </c>
      <c r="D22" s="1732"/>
      <c r="E22" s="1732"/>
      <c r="F22" s="1732"/>
      <c r="G22" s="1732"/>
      <c r="H22" s="1732"/>
      <c r="I22" s="1732"/>
      <c r="J22" s="1732"/>
      <c r="K22" s="1732"/>
      <c r="L22" s="1732"/>
      <c r="M22" s="1732"/>
      <c r="N22" s="1732"/>
      <c r="O22" s="1732"/>
    </row>
    <row r="23" spans="3:15">
      <c r="C23" s="1732"/>
      <c r="D23" s="1732"/>
      <c r="E23" s="1732"/>
      <c r="F23" s="1732"/>
      <c r="G23" s="1732"/>
      <c r="H23" s="1732"/>
      <c r="I23" s="1732"/>
      <c r="J23" s="1732"/>
      <c r="K23" s="1732"/>
      <c r="L23" s="1732"/>
      <c r="M23" s="1732"/>
      <c r="N23" s="1732"/>
      <c r="O23" s="1732"/>
    </row>
    <row r="24" spans="3:15">
      <c r="C24" s="1732"/>
      <c r="D24" s="1732"/>
      <c r="E24" s="1732"/>
      <c r="F24" s="1732"/>
      <c r="G24" s="1732"/>
      <c r="H24" s="1732"/>
      <c r="I24" s="1732"/>
      <c r="J24" s="1732"/>
      <c r="K24" s="1732"/>
      <c r="L24" s="1732"/>
      <c r="M24" s="1732"/>
      <c r="N24" s="1732"/>
      <c r="O24" s="1732"/>
    </row>
    <row r="25" spans="3:15">
      <c r="C25" s="1732"/>
      <c r="D25" s="1732"/>
      <c r="E25" s="1732"/>
      <c r="F25" s="1732"/>
      <c r="G25" s="1732"/>
      <c r="H25" s="1732"/>
      <c r="I25" s="1732"/>
      <c r="J25" s="1732"/>
      <c r="K25" s="1732"/>
      <c r="L25" s="1732"/>
      <c r="M25" s="1732"/>
      <c r="N25" s="1732"/>
      <c r="O25" s="1732"/>
    </row>
    <row r="26" spans="3:15">
      <c r="C26" s="1732"/>
      <c r="D26" s="1732"/>
      <c r="E26" s="1732"/>
      <c r="F26" s="1732"/>
      <c r="G26" s="1732"/>
      <c r="H26" s="1732"/>
      <c r="I26" s="1732"/>
      <c r="J26" s="1732"/>
      <c r="K26" s="1732"/>
      <c r="L26" s="1732"/>
      <c r="M26" s="1732"/>
      <c r="N26" s="1732"/>
      <c r="O26" s="1732"/>
    </row>
    <row r="27" spans="3:15">
      <c r="C27" s="1732"/>
      <c r="D27" s="1732"/>
      <c r="E27" s="1732"/>
      <c r="F27" s="1732"/>
      <c r="G27" s="1732"/>
      <c r="H27" s="1732"/>
      <c r="I27" s="1732"/>
      <c r="J27" s="1732"/>
      <c r="K27" s="1732"/>
      <c r="L27" s="1732"/>
      <c r="M27" s="1732"/>
      <c r="N27" s="1732"/>
      <c r="O27" s="1732"/>
    </row>
    <row r="28" spans="3:15">
      <c r="C28" s="1732"/>
      <c r="D28" s="1732"/>
      <c r="E28" s="1732"/>
      <c r="F28" s="1732"/>
      <c r="G28" s="1732"/>
      <c r="H28" s="1732"/>
      <c r="I28" s="1732"/>
      <c r="J28" s="1732"/>
      <c r="K28" s="1732"/>
      <c r="L28" s="1732"/>
      <c r="M28" s="1732"/>
      <c r="N28" s="1732"/>
      <c r="O28" s="1732"/>
    </row>
    <row r="29" spans="3:15">
      <c r="C29" s="1732"/>
      <c r="D29" s="1732"/>
      <c r="E29" s="1732"/>
      <c r="F29" s="1732"/>
      <c r="G29" s="1732"/>
      <c r="H29" s="1732"/>
      <c r="I29" s="1732"/>
      <c r="J29" s="1732"/>
      <c r="K29" s="1732"/>
      <c r="L29" s="1732"/>
      <c r="M29" s="1732"/>
      <c r="N29" s="1732"/>
      <c r="O29" s="1732"/>
    </row>
    <row r="30" spans="3:15">
      <c r="J30" s="922"/>
      <c r="K30" s="922"/>
      <c r="L30" s="922"/>
      <c r="M30" s="922"/>
    </row>
    <row r="31" spans="3:15">
      <c r="C31" s="1732" t="s">
        <v>270</v>
      </c>
      <c r="D31" s="1732"/>
      <c r="E31" s="1732"/>
      <c r="F31" s="1732"/>
      <c r="G31" s="1732"/>
      <c r="H31" s="1732"/>
      <c r="I31" s="1732"/>
      <c r="J31" s="1732"/>
      <c r="K31" s="1732"/>
      <c r="L31" s="1732"/>
      <c r="M31" s="1732"/>
      <c r="N31" s="1732"/>
      <c r="O31" s="1732"/>
    </row>
    <row r="32" spans="3:15">
      <c r="C32" s="1732"/>
      <c r="D32" s="1732"/>
      <c r="E32" s="1732"/>
      <c r="F32" s="1732"/>
      <c r="G32" s="1732"/>
      <c r="H32" s="1732"/>
      <c r="I32" s="1732"/>
      <c r="J32" s="1732"/>
      <c r="K32" s="1732"/>
      <c r="L32" s="1732"/>
      <c r="M32" s="1732"/>
      <c r="N32" s="1732"/>
      <c r="O32" s="1732"/>
    </row>
    <row r="33" spans="3:15">
      <c r="C33" s="1732"/>
      <c r="D33" s="1732"/>
      <c r="E33" s="1732"/>
      <c r="F33" s="1732"/>
      <c r="G33" s="1732"/>
      <c r="H33" s="1732"/>
      <c r="I33" s="1732"/>
      <c r="J33" s="1732"/>
      <c r="K33" s="1732"/>
      <c r="L33" s="1732"/>
      <c r="M33" s="1732"/>
      <c r="N33" s="1732"/>
      <c r="O33" s="1732"/>
    </row>
    <row r="34" spans="3:15" ht="13" thickBot="1">
      <c r="C34" s="923"/>
      <c r="D34" s="923"/>
      <c r="E34" s="923"/>
      <c r="F34" s="923"/>
      <c r="G34" s="923"/>
      <c r="H34" s="923"/>
      <c r="I34" s="923"/>
      <c r="J34" s="923"/>
      <c r="K34" s="923"/>
      <c r="L34" s="923"/>
      <c r="M34" s="923"/>
      <c r="N34" s="923"/>
      <c r="O34" s="923"/>
    </row>
    <row r="35" spans="3:15" ht="13" thickTop="1">
      <c r="C35" s="924"/>
      <c r="D35" s="924" t="s">
        <v>1363</v>
      </c>
      <c r="E35" s="924" t="s">
        <v>1364</v>
      </c>
      <c r="F35" s="924" t="s">
        <v>1473</v>
      </c>
      <c r="G35" s="924" t="s">
        <v>1474</v>
      </c>
      <c r="H35" s="924" t="s">
        <v>1475</v>
      </c>
      <c r="I35" s="924" t="s">
        <v>1476</v>
      </c>
      <c r="J35" s="924" t="s">
        <v>497</v>
      </c>
      <c r="K35" s="924" t="s">
        <v>1511</v>
      </c>
      <c r="L35" s="923"/>
      <c r="M35" s="1506" t="str">
        <f ca="1">OFFSET(ad_first,OFFSET(ads_top,ROW(ads_fn_VLOOKUP)-1,2),0)</f>
        <v>Review how financial statements can be modelled in spreadsheets - attend one of our workshops</v>
      </c>
      <c r="N35" s="1507"/>
      <c r="O35" s="1508"/>
    </row>
    <row r="36" spans="3:15">
      <c r="C36" s="924">
        <v>1</v>
      </c>
      <c r="D36" s="906"/>
      <c r="E36" s="906"/>
      <c r="F36" s="906"/>
      <c r="G36" s="906"/>
      <c r="H36" s="906"/>
      <c r="I36" s="906"/>
      <c r="J36" s="1734" t="s">
        <v>729</v>
      </c>
      <c r="K36" s="1736"/>
      <c r="L36" s="923"/>
      <c r="M36" s="1509"/>
      <c r="N36" s="1510"/>
      <c r="O36" s="1511"/>
    </row>
    <row r="37" spans="3:15" ht="13" thickBot="1">
      <c r="C37" s="924">
        <v>2</v>
      </c>
      <c r="D37" s="907" t="s">
        <v>428</v>
      </c>
      <c r="E37" s="904" t="s">
        <v>429</v>
      </c>
      <c r="F37" s="906"/>
      <c r="G37" s="906"/>
      <c r="H37" s="906"/>
      <c r="I37" s="906"/>
      <c r="J37" s="908" t="s">
        <v>777</v>
      </c>
      <c r="K37" s="908" t="s">
        <v>429</v>
      </c>
      <c r="L37" s="923"/>
      <c r="M37" s="1509"/>
      <c r="N37" s="1510"/>
      <c r="O37" s="1511"/>
    </row>
    <row r="38" spans="3:15" ht="13" thickBot="1">
      <c r="C38" s="925">
        <v>3</v>
      </c>
      <c r="D38" s="911" t="s">
        <v>1364</v>
      </c>
      <c r="E38" s="912" t="e">
        <f>VLOOKUP(D38,J38:K42,2,FALSE)</f>
        <v>#N/A</v>
      </c>
      <c r="F38" s="900" t="s">
        <v>1240</v>
      </c>
      <c r="G38" s="906"/>
      <c r="H38" s="906"/>
      <c r="I38" s="913"/>
      <c r="J38" s="914" t="s">
        <v>1363</v>
      </c>
      <c r="K38" s="915">
        <v>0.05</v>
      </c>
      <c r="L38" s="923"/>
      <c r="M38" s="1509"/>
      <c r="N38" s="1510"/>
      <c r="O38" s="1511"/>
    </row>
    <row r="39" spans="3:15" ht="13" thickBot="1">
      <c r="C39" s="924">
        <v>4</v>
      </c>
      <c r="D39" s="916"/>
      <c r="E39" s="906"/>
      <c r="F39" s="906"/>
      <c r="G39" s="906"/>
      <c r="H39" s="906"/>
      <c r="I39" s="913"/>
      <c r="J39" s="917" t="s">
        <v>1473</v>
      </c>
      <c r="K39" s="918">
        <v>0.15</v>
      </c>
      <c r="L39" s="923"/>
      <c r="M39" s="1512"/>
      <c r="N39" s="1513"/>
      <c r="O39" s="1514"/>
    </row>
    <row r="40" spans="3:15" ht="13" thickTop="1">
      <c r="C40" s="924">
        <v>5</v>
      </c>
      <c r="D40" s="906"/>
      <c r="E40" s="906"/>
      <c r="F40" s="906"/>
      <c r="G40" s="906"/>
      <c r="H40" s="906"/>
      <c r="I40" s="913"/>
      <c r="J40" s="917" t="s">
        <v>1474</v>
      </c>
      <c r="K40" s="918">
        <v>0.35</v>
      </c>
      <c r="L40" s="923"/>
      <c r="M40" s="923"/>
      <c r="N40" s="923"/>
      <c r="O40" s="923"/>
    </row>
    <row r="41" spans="3:15">
      <c r="C41" s="924">
        <v>6</v>
      </c>
      <c r="D41" s="906"/>
      <c r="E41" s="906"/>
      <c r="F41" s="906"/>
      <c r="G41" s="906"/>
      <c r="H41" s="906"/>
      <c r="I41" s="913"/>
      <c r="J41" s="917" t="s">
        <v>1475</v>
      </c>
      <c r="K41" s="918">
        <v>0.42</v>
      </c>
      <c r="L41" s="923"/>
      <c r="M41" s="923"/>
      <c r="N41" s="923"/>
      <c r="O41" s="923"/>
    </row>
    <row r="42" spans="3:15" ht="13" thickBot="1">
      <c r="C42" s="924">
        <v>7</v>
      </c>
      <c r="D42" s="906"/>
      <c r="E42" s="906"/>
      <c r="F42" s="906"/>
      <c r="G42" s="906"/>
      <c r="H42" s="906"/>
      <c r="I42" s="913"/>
      <c r="J42" s="919" t="s">
        <v>1476</v>
      </c>
      <c r="K42" s="920">
        <v>0.47</v>
      </c>
      <c r="L42" s="923"/>
      <c r="M42" s="923"/>
      <c r="N42" s="923"/>
      <c r="O42" s="923"/>
    </row>
    <row r="43" spans="3:15">
      <c r="C43" s="924">
        <v>8</v>
      </c>
      <c r="D43" s="906"/>
      <c r="E43" s="906"/>
      <c r="F43" s="906"/>
      <c r="G43" s="906"/>
      <c r="H43" s="906"/>
      <c r="I43" s="906"/>
      <c r="J43" s="921"/>
      <c r="K43" s="921"/>
      <c r="L43" s="923"/>
      <c r="M43" s="923"/>
      <c r="N43" s="923"/>
      <c r="O43" s="923"/>
    </row>
    <row r="44" spans="3:15">
      <c r="C44" s="923"/>
      <c r="D44" s="923"/>
      <c r="E44" s="923"/>
      <c r="F44" s="923"/>
      <c r="G44" s="923"/>
      <c r="H44" s="923"/>
      <c r="I44" s="923"/>
      <c r="J44" s="923"/>
      <c r="K44" s="923"/>
      <c r="L44" s="923"/>
      <c r="M44" s="923"/>
      <c r="N44" s="923"/>
      <c r="O44" s="923"/>
    </row>
    <row r="45" spans="3:15">
      <c r="C45" s="1732" t="s">
        <v>268</v>
      </c>
      <c r="D45" s="1732"/>
      <c r="E45" s="1732"/>
      <c r="F45" s="1732"/>
      <c r="G45" s="1732"/>
      <c r="H45" s="1732"/>
      <c r="I45" s="1732"/>
      <c r="J45" s="1732"/>
      <c r="K45" s="1732"/>
      <c r="L45" s="1732"/>
      <c r="M45" s="1732"/>
      <c r="N45" s="1732"/>
      <c r="O45" s="1732"/>
    </row>
    <row r="46" spans="3:15">
      <c r="C46" s="1732"/>
      <c r="D46" s="1732"/>
      <c r="E46" s="1732"/>
      <c r="F46" s="1732"/>
      <c r="G46" s="1732"/>
      <c r="H46" s="1732"/>
      <c r="I46" s="1732"/>
      <c r="J46" s="1732"/>
      <c r="K46" s="1732"/>
      <c r="L46" s="1732"/>
      <c r="M46" s="1732"/>
      <c r="N46" s="1732"/>
      <c r="O46" s="1732"/>
    </row>
    <row r="47" spans="3:15">
      <c r="C47" s="1732"/>
      <c r="D47" s="1732"/>
      <c r="E47" s="1732"/>
      <c r="F47" s="1732"/>
      <c r="G47" s="1732"/>
      <c r="H47" s="1732"/>
      <c r="I47" s="1732"/>
      <c r="J47" s="1732"/>
      <c r="K47" s="1732"/>
      <c r="L47" s="1732"/>
      <c r="M47" s="1732"/>
      <c r="N47" s="1732"/>
      <c r="O47" s="1732"/>
    </row>
    <row r="48" spans="3:15">
      <c r="C48" s="1732"/>
      <c r="D48" s="1732"/>
      <c r="E48" s="1732"/>
      <c r="F48" s="1732"/>
      <c r="G48" s="1732"/>
      <c r="H48" s="1732"/>
      <c r="I48" s="1732"/>
      <c r="J48" s="1732"/>
      <c r="K48" s="1732"/>
      <c r="L48" s="1732"/>
      <c r="M48" s="1732"/>
      <c r="N48" s="1732"/>
      <c r="O48" s="1732"/>
    </row>
    <row r="49" spans="3:15">
      <c r="C49" s="1732"/>
      <c r="D49" s="1732"/>
      <c r="E49" s="1732"/>
      <c r="F49" s="1732"/>
      <c r="G49" s="1732"/>
      <c r="H49" s="1732"/>
      <c r="I49" s="1732"/>
      <c r="J49" s="1732"/>
      <c r="K49" s="1732"/>
      <c r="L49" s="1732"/>
      <c r="M49" s="1732"/>
      <c r="N49" s="1732"/>
      <c r="O49" s="1732"/>
    </row>
    <row r="50" spans="3:15">
      <c r="C50" s="924"/>
      <c r="D50" s="924" t="s">
        <v>1363</v>
      </c>
      <c r="E50" s="924" t="s">
        <v>1364</v>
      </c>
      <c r="F50" s="924" t="s">
        <v>1473</v>
      </c>
      <c r="G50" s="924" t="s">
        <v>1474</v>
      </c>
      <c r="H50" s="924" t="s">
        <v>1475</v>
      </c>
      <c r="I50" s="924" t="s">
        <v>1476</v>
      </c>
      <c r="J50" s="924" t="s">
        <v>497</v>
      </c>
      <c r="K50" s="924" t="s">
        <v>1511</v>
      </c>
      <c r="L50" s="923"/>
      <c r="M50" s="923"/>
      <c r="N50" s="923"/>
      <c r="O50" s="923"/>
    </row>
    <row r="51" spans="3:15">
      <c r="C51" s="924">
        <v>1</v>
      </c>
      <c r="D51" s="906"/>
      <c r="E51" s="906"/>
      <c r="F51" s="906"/>
      <c r="G51" s="906"/>
      <c r="H51" s="906"/>
      <c r="I51" s="906"/>
      <c r="J51" s="1734" t="s">
        <v>729</v>
      </c>
      <c r="K51" s="1736"/>
      <c r="L51" s="923"/>
      <c r="M51" s="923"/>
      <c r="N51" s="923"/>
      <c r="O51" s="923"/>
    </row>
    <row r="52" spans="3:15" ht="13" thickBot="1">
      <c r="C52" s="924">
        <v>2</v>
      </c>
      <c r="D52" s="907" t="s">
        <v>428</v>
      </c>
      <c r="E52" s="904" t="s">
        <v>429</v>
      </c>
      <c r="F52" s="906"/>
      <c r="G52" s="906"/>
      <c r="H52" s="906"/>
      <c r="I52" s="906"/>
      <c r="J52" s="908" t="s">
        <v>777</v>
      </c>
      <c r="K52" s="908" t="s">
        <v>429</v>
      </c>
      <c r="L52" s="923"/>
      <c r="M52" s="923"/>
      <c r="N52" s="923"/>
      <c r="O52" s="923"/>
    </row>
    <row r="53" spans="3:15" ht="13" thickBot="1">
      <c r="C53" s="925">
        <v>3</v>
      </c>
      <c r="D53" s="911" t="s">
        <v>1473</v>
      </c>
      <c r="E53" s="912">
        <f>VLOOKUP(D53,J53:K57,2,TRUE)</f>
        <v>0.05</v>
      </c>
      <c r="F53" s="900" t="s">
        <v>1241</v>
      </c>
      <c r="G53" s="906"/>
      <c r="H53" s="906"/>
      <c r="I53" s="913"/>
      <c r="J53" s="914" t="s">
        <v>1363</v>
      </c>
      <c r="K53" s="915">
        <v>0.05</v>
      </c>
      <c r="L53" s="923"/>
      <c r="M53" s="923"/>
      <c r="N53" s="923"/>
      <c r="O53" s="923"/>
    </row>
    <row r="54" spans="3:15">
      <c r="C54" s="924">
        <v>4</v>
      </c>
      <c r="D54" s="916"/>
      <c r="E54" s="906"/>
      <c r="F54" s="906"/>
      <c r="G54" s="906"/>
      <c r="H54" s="906"/>
      <c r="I54" s="913"/>
      <c r="J54" s="917" t="s">
        <v>1474</v>
      </c>
      <c r="K54" s="918">
        <v>0.15</v>
      </c>
      <c r="L54" s="923"/>
      <c r="M54" s="923"/>
      <c r="N54" s="923"/>
      <c r="O54" s="923"/>
    </row>
    <row r="55" spans="3:15">
      <c r="C55" s="924">
        <v>5</v>
      </c>
      <c r="D55" s="906"/>
      <c r="E55" s="906"/>
      <c r="F55" s="906"/>
      <c r="G55" s="906"/>
      <c r="H55" s="906"/>
      <c r="I55" s="913"/>
      <c r="J55" s="917" t="s">
        <v>1475</v>
      </c>
      <c r="K55" s="918">
        <v>0.35</v>
      </c>
      <c r="L55" s="923"/>
      <c r="M55" s="923"/>
      <c r="N55" s="923"/>
      <c r="O55" s="923"/>
    </row>
    <row r="56" spans="3:15">
      <c r="C56" s="924">
        <v>6</v>
      </c>
      <c r="D56" s="906"/>
      <c r="E56" s="906"/>
      <c r="F56" s="906"/>
      <c r="G56" s="906"/>
      <c r="H56" s="906"/>
      <c r="I56" s="913"/>
      <c r="J56" s="917" t="s">
        <v>1476</v>
      </c>
      <c r="K56" s="918">
        <v>0.42</v>
      </c>
      <c r="L56" s="923"/>
      <c r="M56" s="923"/>
      <c r="N56" s="923"/>
      <c r="O56" s="923"/>
    </row>
    <row r="57" spans="3:15" ht="13" thickBot="1">
      <c r="C57" s="924">
        <v>7</v>
      </c>
      <c r="D57" s="906"/>
      <c r="E57" s="906"/>
      <c r="F57" s="906"/>
      <c r="G57" s="906"/>
      <c r="H57" s="906"/>
      <c r="I57" s="913"/>
      <c r="J57" s="919" t="s">
        <v>497</v>
      </c>
      <c r="K57" s="920">
        <v>0.47</v>
      </c>
      <c r="L57" s="923"/>
      <c r="M57" s="923"/>
      <c r="N57" s="923"/>
      <c r="O57" s="923"/>
    </row>
    <row r="58" spans="3:15">
      <c r="C58" s="924">
        <v>8</v>
      </c>
      <c r="D58" s="906"/>
      <c r="E58" s="906"/>
      <c r="F58" s="906"/>
      <c r="G58" s="906"/>
      <c r="H58" s="906"/>
      <c r="I58" s="906"/>
      <c r="J58" s="921"/>
      <c r="K58" s="921"/>
      <c r="L58" s="923"/>
      <c r="M58" s="923"/>
      <c r="N58" s="923"/>
      <c r="O58" s="923"/>
    </row>
    <row r="59" spans="3:15">
      <c r="C59" s="923"/>
      <c r="D59" s="923"/>
      <c r="E59" s="923"/>
      <c r="F59" s="923"/>
      <c r="G59" s="923"/>
      <c r="H59" s="923"/>
      <c r="I59" s="923"/>
      <c r="J59" s="923"/>
      <c r="K59" s="923"/>
      <c r="L59" s="923"/>
      <c r="M59" s="923"/>
      <c r="N59" s="923"/>
      <c r="O59" s="923"/>
    </row>
    <row r="60" spans="3:15">
      <c r="C60" s="1732" t="s">
        <v>1600</v>
      </c>
      <c r="D60" s="1732"/>
      <c r="E60" s="1732"/>
      <c r="F60" s="1732"/>
      <c r="G60" s="1732"/>
      <c r="H60" s="1732"/>
      <c r="I60" s="1732"/>
      <c r="J60" s="1732"/>
      <c r="K60" s="1732"/>
      <c r="L60" s="1732"/>
      <c r="M60" s="1732"/>
      <c r="N60" s="1732"/>
      <c r="O60" s="1732"/>
    </row>
    <row r="61" spans="3:15">
      <c r="C61" s="1732"/>
      <c r="D61" s="1732"/>
      <c r="E61" s="1732"/>
      <c r="F61" s="1732"/>
      <c r="G61" s="1732"/>
      <c r="H61" s="1732"/>
      <c r="I61" s="1732"/>
      <c r="J61" s="1732"/>
      <c r="K61" s="1732"/>
      <c r="L61" s="1732"/>
      <c r="M61" s="1732"/>
      <c r="N61" s="1732"/>
      <c r="O61" s="1732"/>
    </row>
    <row r="62" spans="3:15">
      <c r="C62" s="1732"/>
      <c r="D62" s="1732"/>
      <c r="E62" s="1732"/>
      <c r="F62" s="1732"/>
      <c r="G62" s="1732"/>
      <c r="H62" s="1732"/>
      <c r="I62" s="1732"/>
      <c r="J62" s="1732"/>
      <c r="K62" s="1732"/>
      <c r="L62" s="1732"/>
      <c r="M62" s="1732"/>
      <c r="N62" s="1732"/>
      <c r="O62" s="1732"/>
    </row>
    <row r="63" spans="3:15">
      <c r="C63" s="1732"/>
      <c r="D63" s="1732"/>
      <c r="E63" s="1732"/>
      <c r="F63" s="1732"/>
      <c r="G63" s="1732"/>
      <c r="H63" s="1732"/>
      <c r="I63" s="1732"/>
      <c r="J63" s="1732"/>
      <c r="K63" s="1732"/>
      <c r="L63" s="1732"/>
      <c r="M63" s="1732"/>
      <c r="N63" s="1732"/>
      <c r="O63" s="1732"/>
    </row>
    <row r="64" spans="3:15">
      <c r="C64" s="1732"/>
      <c r="D64" s="1732"/>
      <c r="E64" s="1732"/>
      <c r="F64" s="1732"/>
      <c r="G64" s="1732"/>
      <c r="H64" s="1732"/>
      <c r="I64" s="1732"/>
      <c r="J64" s="1732"/>
      <c r="K64" s="1732"/>
      <c r="L64" s="1732"/>
      <c r="M64" s="1732"/>
      <c r="N64" s="1732"/>
      <c r="O64" s="1732"/>
    </row>
    <row r="65" spans="3:15">
      <c r="C65" s="1732"/>
      <c r="D65" s="1732"/>
      <c r="E65" s="1732"/>
      <c r="F65" s="1732"/>
      <c r="G65" s="1732"/>
      <c r="H65" s="1732"/>
      <c r="I65" s="1732"/>
      <c r="J65" s="1732"/>
      <c r="K65" s="1732"/>
      <c r="L65" s="1732"/>
      <c r="M65" s="1732"/>
      <c r="N65" s="1732"/>
      <c r="O65" s="1732"/>
    </row>
    <row r="66" spans="3:15">
      <c r="C66" s="1732"/>
      <c r="D66" s="1732"/>
      <c r="E66" s="1732"/>
      <c r="F66" s="1732"/>
      <c r="G66" s="1732"/>
      <c r="H66" s="1732"/>
      <c r="I66" s="1732"/>
      <c r="J66" s="1732"/>
      <c r="K66" s="1732"/>
      <c r="L66" s="1732"/>
      <c r="M66" s="1732"/>
      <c r="N66" s="1732"/>
      <c r="O66" s="1732"/>
    </row>
    <row r="67" spans="3:15">
      <c r="C67" s="1732"/>
      <c r="D67" s="1732"/>
      <c r="E67" s="1732"/>
      <c r="F67" s="1732"/>
      <c r="G67" s="1732"/>
      <c r="H67" s="1732"/>
      <c r="I67" s="1732"/>
      <c r="J67" s="1732"/>
      <c r="K67" s="1732"/>
      <c r="L67" s="1732"/>
      <c r="M67" s="1732"/>
      <c r="N67" s="1732"/>
      <c r="O67" s="1732"/>
    </row>
    <row r="68" spans="3:15" ht="13" thickBot="1"/>
    <row r="69" spans="3:15" ht="13" thickTop="1">
      <c r="C69" s="904"/>
      <c r="D69" s="904" t="s">
        <v>1363</v>
      </c>
      <c r="E69" s="904" t="s">
        <v>1364</v>
      </c>
      <c r="F69" s="904" t="s">
        <v>1473</v>
      </c>
      <c r="G69" s="904" t="s">
        <v>1474</v>
      </c>
      <c r="H69" s="904" t="s">
        <v>1475</v>
      </c>
      <c r="I69" s="904" t="s">
        <v>1476</v>
      </c>
      <c r="J69" s="904" t="s">
        <v>497</v>
      </c>
      <c r="K69" s="904" t="s">
        <v>1511</v>
      </c>
      <c r="L69" s="905"/>
      <c r="M69" s="1521" t="str">
        <f ca="1">OFFSET(ad_first,OFFSET(ads_top,ROW(ads_fn_VLOOKUP)-1,3),0)</f>
        <v>Our Visual Basic course shows how to integrate workflows across Microsoft Office applications</v>
      </c>
      <c r="N69" s="1507"/>
      <c r="O69" s="1508"/>
    </row>
    <row r="70" spans="3:15">
      <c r="C70" s="904">
        <v>1</v>
      </c>
      <c r="D70" s="906"/>
      <c r="E70" s="906"/>
      <c r="F70" s="906"/>
      <c r="G70" s="906"/>
      <c r="H70" s="906"/>
      <c r="I70" s="906"/>
      <c r="J70" s="1734" t="s">
        <v>729</v>
      </c>
      <c r="K70" s="1736"/>
      <c r="L70" s="905"/>
      <c r="M70" s="1509"/>
      <c r="N70" s="1510"/>
      <c r="O70" s="1511"/>
    </row>
    <row r="71" spans="3:15" ht="13" thickBot="1">
      <c r="C71" s="904">
        <v>2</v>
      </c>
      <c r="D71" s="907" t="s">
        <v>428</v>
      </c>
      <c r="E71" s="904" t="s">
        <v>429</v>
      </c>
      <c r="F71" s="906"/>
      <c r="G71" s="906"/>
      <c r="H71" s="906"/>
      <c r="I71" s="906"/>
      <c r="J71" s="908" t="s">
        <v>777</v>
      </c>
      <c r="K71" s="908" t="s">
        <v>429</v>
      </c>
      <c r="L71" s="905"/>
      <c r="M71" s="1509"/>
      <c r="N71" s="1510"/>
      <c r="O71" s="1511"/>
    </row>
    <row r="72" spans="3:15" ht="13" thickBot="1">
      <c r="C72" s="910">
        <v>3</v>
      </c>
      <c r="D72" s="911" t="s">
        <v>1473</v>
      </c>
      <c r="E72" s="912">
        <f>VLOOKUP(D72,J72:K76,2,TRUE)</f>
        <v>0.05</v>
      </c>
      <c r="F72" s="900" t="s">
        <v>1241</v>
      </c>
      <c r="G72" s="906"/>
      <c r="H72" s="906"/>
      <c r="I72" s="913"/>
      <c r="J72" s="914" t="s">
        <v>1363</v>
      </c>
      <c r="K72" s="915">
        <v>0.05</v>
      </c>
      <c r="L72" s="26"/>
      <c r="M72" s="1509"/>
      <c r="N72" s="1510"/>
      <c r="O72" s="1511"/>
    </row>
    <row r="73" spans="3:15" ht="13" thickBot="1">
      <c r="C73" s="926">
        <v>4</v>
      </c>
      <c r="D73" s="916"/>
      <c r="E73" s="906"/>
      <c r="F73" s="900" t="s">
        <v>730</v>
      </c>
      <c r="G73" s="906"/>
      <c r="H73" s="906"/>
      <c r="I73" s="913"/>
      <c r="J73" s="917" t="s">
        <v>1474</v>
      </c>
      <c r="K73" s="918">
        <v>0.15</v>
      </c>
      <c r="L73" s="26"/>
      <c r="M73" s="1512"/>
      <c r="N73" s="1513"/>
      <c r="O73" s="1514"/>
    </row>
    <row r="74" spans="3:15" ht="13" thickTop="1">
      <c r="C74" s="904">
        <v>5</v>
      </c>
      <c r="D74" s="906"/>
      <c r="E74" s="906"/>
      <c r="F74" s="906"/>
      <c r="G74" s="906"/>
      <c r="H74" s="906"/>
      <c r="I74" s="913"/>
      <c r="J74" s="917" t="s">
        <v>1475</v>
      </c>
      <c r="K74" s="918">
        <v>0.35</v>
      </c>
      <c r="L74" s="26"/>
      <c r="M74" s="26"/>
    </row>
    <row r="75" spans="3:15">
      <c r="C75" s="904">
        <v>6</v>
      </c>
      <c r="D75" s="906"/>
      <c r="E75" s="906"/>
      <c r="F75" s="906"/>
      <c r="G75" s="906"/>
      <c r="H75" s="906"/>
      <c r="I75" s="913"/>
      <c r="J75" s="917" t="s">
        <v>1476</v>
      </c>
      <c r="K75" s="918">
        <v>0.42</v>
      </c>
      <c r="L75" s="26"/>
      <c r="M75" s="26"/>
    </row>
    <row r="76" spans="3:15" ht="13" thickBot="1">
      <c r="C76" s="904">
        <v>7</v>
      </c>
      <c r="D76" s="906"/>
      <c r="E76" s="906"/>
      <c r="F76" s="906"/>
      <c r="G76" s="906"/>
      <c r="H76" s="906"/>
      <c r="I76" s="913"/>
      <c r="J76" s="919" t="s">
        <v>497</v>
      </c>
      <c r="K76" s="920">
        <v>0.47</v>
      </c>
      <c r="L76" s="26"/>
      <c r="M76" s="26"/>
    </row>
    <row r="77" spans="3:15">
      <c r="C77" s="904">
        <v>8</v>
      </c>
      <c r="D77" s="906"/>
      <c r="E77" s="906"/>
      <c r="F77" s="906"/>
      <c r="G77" s="906"/>
      <c r="H77" s="906"/>
      <c r="I77" s="906"/>
      <c r="J77" s="921"/>
      <c r="K77" s="921"/>
      <c r="L77" s="26"/>
      <c r="M77" s="26"/>
    </row>
    <row r="78" spans="3:15"/>
    <row r="79" spans="3:15">
      <c r="C79" s="1732" t="s">
        <v>958</v>
      </c>
      <c r="D79" s="1732"/>
      <c r="E79" s="1732"/>
      <c r="F79" s="1732"/>
      <c r="G79" s="1732"/>
      <c r="H79" s="1732"/>
      <c r="I79" s="1732"/>
      <c r="J79" s="1732"/>
      <c r="K79" s="1732"/>
      <c r="L79" s="1732"/>
      <c r="M79" s="1732"/>
      <c r="N79" s="1732"/>
      <c r="O79" s="1732"/>
    </row>
    <row r="80" spans="3:15">
      <c r="C80" s="1732"/>
      <c r="D80" s="1732"/>
      <c r="E80" s="1732"/>
      <c r="F80" s="1732"/>
      <c r="G80" s="1732"/>
      <c r="H80" s="1732"/>
      <c r="I80" s="1732"/>
      <c r="J80" s="1732"/>
      <c r="K80" s="1732"/>
      <c r="L80" s="1732"/>
      <c r="M80" s="1732"/>
      <c r="N80" s="1732"/>
      <c r="O80" s="1732"/>
    </row>
    <row r="81" spans="3:15">
      <c r="C81" s="1732"/>
      <c r="D81" s="1732"/>
      <c r="E81" s="1732"/>
      <c r="F81" s="1732"/>
      <c r="G81" s="1732"/>
      <c r="H81" s="1732"/>
      <c r="I81" s="1732"/>
      <c r="J81" s="1732"/>
      <c r="K81" s="1732"/>
      <c r="L81" s="1732"/>
      <c r="M81" s="1732"/>
      <c r="N81" s="1732"/>
      <c r="O81" s="1732"/>
    </row>
    <row r="82" spans="3:15"/>
    <row r="83" spans="3:15">
      <c r="C83" s="904"/>
      <c r="D83" s="904" t="s">
        <v>1363</v>
      </c>
      <c r="E83" s="904" t="s">
        <v>1364</v>
      </c>
      <c r="F83" s="904" t="s">
        <v>1473</v>
      </c>
      <c r="G83" s="904" t="s">
        <v>1474</v>
      </c>
      <c r="H83" s="904" t="s">
        <v>1475</v>
      </c>
      <c r="I83" s="904" t="s">
        <v>1476</v>
      </c>
      <c r="J83" s="904" t="s">
        <v>497</v>
      </c>
      <c r="K83" s="904" t="s">
        <v>1511</v>
      </c>
    </row>
    <row r="84" spans="3:15">
      <c r="C84" s="904">
        <v>1</v>
      </c>
      <c r="D84" s="906"/>
      <c r="E84" s="906"/>
      <c r="F84" s="906"/>
      <c r="G84" s="906"/>
      <c r="H84" s="906"/>
      <c r="I84" s="906"/>
      <c r="J84" s="1734" t="s">
        <v>729</v>
      </c>
      <c r="K84" s="1734"/>
    </row>
    <row r="85" spans="3:15" ht="13" thickBot="1">
      <c r="C85" s="904">
        <v>2</v>
      </c>
      <c r="D85" s="907" t="s">
        <v>428</v>
      </c>
      <c r="E85" s="904" t="s">
        <v>429</v>
      </c>
      <c r="F85" s="906"/>
      <c r="G85" s="906"/>
      <c r="H85" s="906"/>
      <c r="I85" s="906"/>
      <c r="J85" s="908" t="s">
        <v>777</v>
      </c>
      <c r="K85" s="908" t="s">
        <v>429</v>
      </c>
    </row>
    <row r="86" spans="3:15" ht="13" thickBot="1">
      <c r="C86" s="910">
        <v>3</v>
      </c>
      <c r="D86" s="911" t="s">
        <v>731</v>
      </c>
      <c r="E86" s="912">
        <f>VLOOKUP(D86,J86:K90,2,TRUE)</f>
        <v>0.15</v>
      </c>
      <c r="F86" s="900" t="s">
        <v>1241</v>
      </c>
      <c r="G86" s="906"/>
      <c r="H86" s="906"/>
      <c r="I86" s="913"/>
      <c r="J86" s="914" t="s">
        <v>1363</v>
      </c>
      <c r="K86" s="915">
        <v>0.05</v>
      </c>
    </row>
    <row r="87" spans="3:15">
      <c r="C87" s="904">
        <v>4</v>
      </c>
      <c r="D87" s="916"/>
      <c r="E87" s="906"/>
      <c r="F87" s="906"/>
      <c r="G87" s="906"/>
      <c r="H87" s="906"/>
      <c r="I87" s="913"/>
      <c r="J87" s="917" t="s">
        <v>1473</v>
      </c>
      <c r="K87" s="918">
        <v>0.15</v>
      </c>
    </row>
    <row r="88" spans="3:15">
      <c r="C88" s="904">
        <v>5</v>
      </c>
      <c r="D88" s="906"/>
      <c r="E88" s="906"/>
      <c r="F88" s="906"/>
      <c r="G88" s="906"/>
      <c r="H88" s="906"/>
      <c r="I88" s="913"/>
      <c r="J88" s="917" t="s">
        <v>732</v>
      </c>
      <c r="K88" s="918">
        <v>0.35</v>
      </c>
    </row>
    <row r="89" spans="3:15">
      <c r="C89" s="904">
        <v>6</v>
      </c>
      <c r="D89" s="906"/>
      <c r="E89" s="906"/>
      <c r="F89" s="906"/>
      <c r="G89" s="906"/>
      <c r="H89" s="906"/>
      <c r="I89" s="913"/>
      <c r="J89" s="917" t="s">
        <v>698</v>
      </c>
      <c r="K89" s="918">
        <v>0.42</v>
      </c>
    </row>
    <row r="90" spans="3:15" ht="13" thickBot="1">
      <c r="C90" s="904">
        <v>7</v>
      </c>
      <c r="D90" s="906"/>
      <c r="E90" s="906"/>
      <c r="F90" s="906"/>
      <c r="G90" s="906"/>
      <c r="H90" s="906"/>
      <c r="I90" s="913"/>
      <c r="J90" s="919" t="s">
        <v>699</v>
      </c>
      <c r="K90" s="920">
        <v>0.47</v>
      </c>
    </row>
    <row r="91" spans="3:15">
      <c r="C91" s="904">
        <v>8</v>
      </c>
      <c r="D91" s="906"/>
      <c r="E91" s="906"/>
      <c r="F91" s="906"/>
      <c r="G91" s="906"/>
      <c r="H91" s="906"/>
      <c r="I91" s="906"/>
      <c r="J91" s="921"/>
      <c r="K91" s="921"/>
    </row>
    <row r="92" spans="3:15"/>
    <row r="93" spans="3:15">
      <c r="C93" s="1732" t="s">
        <v>959</v>
      </c>
      <c r="D93" s="1732"/>
      <c r="E93" s="1732"/>
      <c r="F93" s="1732"/>
      <c r="G93" s="1732"/>
      <c r="H93" s="1732"/>
      <c r="I93" s="1732"/>
      <c r="J93" s="1732"/>
      <c r="K93" s="1732"/>
      <c r="L93" s="1732"/>
      <c r="M93" s="1732"/>
      <c r="N93" s="1732"/>
      <c r="O93" s="1732"/>
    </row>
    <row r="94" spans="3:15">
      <c r="C94" s="1732"/>
      <c r="D94" s="1732"/>
      <c r="E94" s="1732"/>
      <c r="F94" s="1732"/>
      <c r="G94" s="1732"/>
      <c r="H94" s="1732"/>
      <c r="I94" s="1732"/>
      <c r="J94" s="1732"/>
      <c r="K94" s="1732"/>
      <c r="L94" s="1732"/>
      <c r="M94" s="1732"/>
      <c r="N94" s="1732"/>
      <c r="O94" s="1732"/>
    </row>
    <row r="95" spans="3:15">
      <c r="C95" s="1732"/>
      <c r="D95" s="1732"/>
      <c r="E95" s="1732"/>
      <c r="F95" s="1732"/>
      <c r="G95" s="1732"/>
      <c r="H95" s="1732"/>
      <c r="I95" s="1732"/>
      <c r="J95" s="1732"/>
      <c r="K95" s="1732"/>
      <c r="L95" s="1732"/>
      <c r="M95" s="1732"/>
      <c r="N95" s="1732"/>
      <c r="O95" s="1732"/>
    </row>
    <row r="96" spans="3:15">
      <c r="C96" s="904"/>
      <c r="D96" s="904" t="s">
        <v>1363</v>
      </c>
      <c r="E96" s="904" t="s">
        <v>1364</v>
      </c>
      <c r="F96" s="904" t="s">
        <v>1473</v>
      </c>
      <c r="G96" s="904" t="s">
        <v>1474</v>
      </c>
      <c r="H96" s="904" t="s">
        <v>1475</v>
      </c>
      <c r="I96" s="904" t="s">
        <v>1476</v>
      </c>
      <c r="J96" s="904" t="s">
        <v>497</v>
      </c>
      <c r="K96" s="904" t="s">
        <v>1511</v>
      </c>
    </row>
    <row r="97" spans="3:15">
      <c r="C97" s="904">
        <v>1</v>
      </c>
      <c r="D97" s="906"/>
      <c r="E97" s="906"/>
      <c r="F97" s="906"/>
      <c r="G97" s="906"/>
      <c r="H97" s="906"/>
      <c r="I97" s="906"/>
      <c r="J97" s="1734" t="s">
        <v>729</v>
      </c>
      <c r="K97" s="1734"/>
    </row>
    <row r="98" spans="3:15" ht="13" thickBot="1">
      <c r="C98" s="904">
        <v>2</v>
      </c>
      <c r="D98" s="907" t="s">
        <v>960</v>
      </c>
      <c r="E98" s="904" t="s">
        <v>429</v>
      </c>
      <c r="F98" s="906"/>
      <c r="G98" s="906"/>
      <c r="H98" s="906"/>
      <c r="I98" s="906"/>
      <c r="J98" s="908" t="s">
        <v>960</v>
      </c>
      <c r="K98" s="908" t="s">
        <v>429</v>
      </c>
    </row>
    <row r="99" spans="3:15" ht="13" thickBot="1">
      <c r="C99" s="910">
        <v>3</v>
      </c>
      <c r="D99" s="911">
        <v>54000</v>
      </c>
      <c r="E99" s="912">
        <f>VLOOKUP(D99,J99:K103,2,TRUE)</f>
        <v>0.15</v>
      </c>
      <c r="F99" s="900" t="s">
        <v>1241</v>
      </c>
      <c r="G99" s="906"/>
      <c r="H99" s="906"/>
      <c r="I99" s="913"/>
      <c r="J99" s="914">
        <v>10000</v>
      </c>
      <c r="K99" s="915">
        <v>0</v>
      </c>
    </row>
    <row r="100" spans="3:15">
      <c r="C100" s="904">
        <v>4</v>
      </c>
      <c r="D100" s="916"/>
      <c r="E100" s="906"/>
      <c r="F100" s="906"/>
      <c r="G100" s="906"/>
      <c r="H100" s="906"/>
      <c r="I100" s="913"/>
      <c r="J100" s="917">
        <v>30000</v>
      </c>
      <c r="K100" s="918">
        <v>0.15</v>
      </c>
    </row>
    <row r="101" spans="3:15">
      <c r="C101" s="904">
        <v>5</v>
      </c>
      <c r="D101" s="906"/>
      <c r="E101" s="906"/>
      <c r="F101" s="906"/>
      <c r="G101" s="906"/>
      <c r="H101" s="906"/>
      <c r="I101" s="913"/>
      <c r="J101" s="917">
        <v>55000</v>
      </c>
      <c r="K101" s="918">
        <v>0.35</v>
      </c>
    </row>
    <row r="102" spans="3:15">
      <c r="C102" s="904">
        <v>6</v>
      </c>
      <c r="D102" s="906"/>
      <c r="E102" s="906"/>
      <c r="F102" s="906"/>
      <c r="G102" s="906"/>
      <c r="H102" s="906"/>
      <c r="I102" s="913"/>
      <c r="J102" s="917">
        <v>95000</v>
      </c>
      <c r="K102" s="918">
        <v>0.42</v>
      </c>
    </row>
    <row r="103" spans="3:15" ht="13" thickBot="1">
      <c r="C103" s="904">
        <v>7</v>
      </c>
      <c r="D103" s="906"/>
      <c r="E103" s="906"/>
      <c r="F103" s="906"/>
      <c r="G103" s="906"/>
      <c r="H103" s="906"/>
      <c r="I103" s="913"/>
      <c r="J103" s="919">
        <v>150000</v>
      </c>
      <c r="K103" s="920">
        <v>0.47</v>
      </c>
    </row>
    <row r="104" spans="3:15">
      <c r="C104" s="904">
        <v>8</v>
      </c>
      <c r="D104" s="906"/>
      <c r="E104" s="906"/>
      <c r="F104" s="906"/>
      <c r="G104" s="906"/>
      <c r="H104" s="906"/>
      <c r="I104" s="906"/>
      <c r="J104" s="921"/>
      <c r="K104" s="921"/>
    </row>
    <row r="105" spans="3:15"/>
    <row r="106" spans="3:15">
      <c r="C106" s="1732" t="s">
        <v>961</v>
      </c>
      <c r="D106" s="1732"/>
      <c r="E106" s="1732"/>
      <c r="F106" s="1732"/>
      <c r="G106" s="1732"/>
      <c r="H106" s="1732"/>
      <c r="I106" s="1732"/>
      <c r="J106" s="1732"/>
      <c r="K106" s="1732"/>
      <c r="L106" s="1732"/>
      <c r="M106" s="1732"/>
      <c r="N106" s="1732"/>
      <c r="O106" s="1732"/>
    </row>
    <row r="107" spans="3:15">
      <c r="C107" s="1732"/>
      <c r="D107" s="1732"/>
      <c r="E107" s="1732"/>
      <c r="F107" s="1732"/>
      <c r="G107" s="1732"/>
      <c r="H107" s="1732"/>
      <c r="I107" s="1732"/>
      <c r="J107" s="1732"/>
      <c r="K107" s="1732"/>
      <c r="L107" s="1732"/>
      <c r="M107" s="1732"/>
      <c r="N107" s="1732"/>
      <c r="O107" s="1732"/>
    </row>
    <row r="108" spans="3:15"/>
    <row r="109" spans="3:15">
      <c r="C109" s="1732" t="s">
        <v>962</v>
      </c>
      <c r="D109" s="1732"/>
      <c r="E109" s="1732"/>
      <c r="F109" s="1732"/>
      <c r="G109" s="1732"/>
      <c r="H109" s="1732"/>
      <c r="I109" s="1732"/>
      <c r="J109" s="1732"/>
      <c r="K109" s="1732"/>
      <c r="L109" s="1732"/>
      <c r="M109" s="1732"/>
      <c r="N109" s="1732"/>
      <c r="O109" s="1732"/>
    </row>
    <row r="110" spans="3:15">
      <c r="C110" s="1732"/>
      <c r="D110" s="1732"/>
      <c r="E110" s="1732"/>
      <c r="F110" s="1732"/>
      <c r="G110" s="1732"/>
      <c r="H110" s="1732"/>
      <c r="I110" s="1732"/>
      <c r="J110" s="1732"/>
      <c r="K110" s="1732"/>
      <c r="L110" s="1732"/>
      <c r="M110" s="1732"/>
      <c r="N110" s="1732"/>
      <c r="O110" s="1732"/>
    </row>
    <row r="111" spans="3:15"/>
    <row r="112" spans="3:15">
      <c r="C112" s="904"/>
      <c r="D112" s="904" t="s">
        <v>1363</v>
      </c>
      <c r="E112" s="904" t="s">
        <v>1364</v>
      </c>
      <c r="F112" s="904" t="s">
        <v>1473</v>
      </c>
      <c r="G112" s="904" t="s">
        <v>1474</v>
      </c>
      <c r="H112" s="904" t="s">
        <v>1475</v>
      </c>
      <c r="I112" s="904" t="s">
        <v>1476</v>
      </c>
      <c r="J112" s="904" t="s">
        <v>497</v>
      </c>
      <c r="K112" s="904" t="s">
        <v>1511</v>
      </c>
    </row>
    <row r="113" spans="3:15">
      <c r="C113" s="904">
        <v>1</v>
      </c>
      <c r="D113" s="906"/>
      <c r="E113" s="906"/>
      <c r="F113" s="906"/>
      <c r="G113" s="906"/>
      <c r="H113" s="906"/>
      <c r="I113" s="906"/>
      <c r="J113" s="1734" t="s">
        <v>729</v>
      </c>
      <c r="K113" s="1734"/>
    </row>
    <row r="114" spans="3:15" ht="13" thickBot="1">
      <c r="C114" s="904">
        <v>2</v>
      </c>
      <c r="D114" s="907" t="s">
        <v>960</v>
      </c>
      <c r="E114" s="904" t="s">
        <v>429</v>
      </c>
      <c r="F114" s="906"/>
      <c r="G114" s="906"/>
      <c r="H114" s="906"/>
      <c r="I114" s="906"/>
      <c r="J114" s="908" t="s">
        <v>960</v>
      </c>
      <c r="K114" s="908" t="s">
        <v>429</v>
      </c>
    </row>
    <row r="115" spans="3:15" ht="13" thickBot="1">
      <c r="C115" s="910">
        <v>3</v>
      </c>
      <c r="D115" s="911">
        <v>154000</v>
      </c>
      <c r="E115" s="912">
        <f>VLOOKUP(D115,J115:K119,2,TRUE)</f>
        <v>0.47</v>
      </c>
      <c r="F115" s="900" t="s">
        <v>1241</v>
      </c>
      <c r="G115" s="906"/>
      <c r="H115" s="906"/>
      <c r="I115" s="913"/>
      <c r="J115" s="914">
        <v>10000</v>
      </c>
      <c r="K115" s="915">
        <v>0</v>
      </c>
    </row>
    <row r="116" spans="3:15">
      <c r="C116" s="904">
        <v>4</v>
      </c>
      <c r="D116" s="916"/>
      <c r="E116" s="906"/>
      <c r="F116" s="906"/>
      <c r="G116" s="906"/>
      <c r="H116" s="906"/>
      <c r="I116" s="913"/>
      <c r="J116" s="917">
        <v>30000</v>
      </c>
      <c r="K116" s="918">
        <v>0.15</v>
      </c>
    </row>
    <row r="117" spans="3:15">
      <c r="C117" s="904">
        <v>5</v>
      </c>
      <c r="D117" s="906"/>
      <c r="E117" s="906"/>
      <c r="F117" s="906"/>
      <c r="G117" s="906"/>
      <c r="H117" s="906"/>
      <c r="I117" s="913"/>
      <c r="J117" s="917">
        <v>55000</v>
      </c>
      <c r="K117" s="918">
        <v>0.35</v>
      </c>
    </row>
    <row r="118" spans="3:15">
      <c r="C118" s="904">
        <v>6</v>
      </c>
      <c r="D118" s="906"/>
      <c r="E118" s="906"/>
      <c r="F118" s="906"/>
      <c r="G118" s="906"/>
      <c r="H118" s="906"/>
      <c r="I118" s="913"/>
      <c r="J118" s="917">
        <v>95000</v>
      </c>
      <c r="K118" s="918">
        <v>0.42</v>
      </c>
    </row>
    <row r="119" spans="3:15" ht="13" thickBot="1">
      <c r="C119" s="904">
        <v>7</v>
      </c>
      <c r="D119" s="906"/>
      <c r="E119" s="906"/>
      <c r="F119" s="906"/>
      <c r="G119" s="906"/>
      <c r="H119" s="906"/>
      <c r="I119" s="913"/>
      <c r="J119" s="919">
        <v>150000</v>
      </c>
      <c r="K119" s="920">
        <v>0.47</v>
      </c>
    </row>
    <row r="120" spans="3:15">
      <c r="C120" s="904">
        <v>8</v>
      </c>
      <c r="D120" s="906"/>
      <c r="E120" s="906"/>
      <c r="F120" s="906"/>
      <c r="G120" s="906"/>
      <c r="H120" s="906"/>
      <c r="I120" s="906"/>
      <c r="J120" s="921"/>
      <c r="K120" s="921"/>
    </row>
    <row r="121" spans="3:15"/>
    <row r="122" spans="3:15">
      <c r="C122" s="1732" t="s">
        <v>963</v>
      </c>
      <c r="D122" s="1732"/>
      <c r="E122" s="1732"/>
      <c r="F122" s="1732"/>
      <c r="G122" s="1732"/>
      <c r="H122" s="1732"/>
      <c r="I122" s="1732"/>
      <c r="J122" s="1732"/>
      <c r="K122" s="1732"/>
      <c r="L122" s="1732"/>
      <c r="M122" s="1732"/>
      <c r="N122" s="1732"/>
      <c r="O122" s="1732"/>
    </row>
    <row r="123" spans="3:15">
      <c r="C123" s="1732"/>
      <c r="D123" s="1732"/>
      <c r="E123" s="1732"/>
      <c r="F123" s="1732"/>
      <c r="G123" s="1732"/>
      <c r="H123" s="1732"/>
      <c r="I123" s="1732"/>
      <c r="J123" s="1732"/>
      <c r="K123" s="1732"/>
      <c r="L123" s="1732"/>
      <c r="M123" s="1732"/>
      <c r="N123" s="1732"/>
      <c r="O123" s="1732"/>
    </row>
    <row r="124" spans="3:15"/>
    <row r="125" spans="3:15">
      <c r="C125" s="1732" t="s">
        <v>965</v>
      </c>
      <c r="D125" s="1732"/>
      <c r="E125" s="1732"/>
      <c r="F125" s="1732"/>
      <c r="G125" s="1732"/>
      <c r="H125" s="1732"/>
      <c r="I125" s="1732"/>
      <c r="J125" s="1732"/>
      <c r="K125" s="1732"/>
      <c r="L125" s="1732"/>
      <c r="M125" s="1732"/>
      <c r="N125" s="1732"/>
      <c r="O125" s="1732"/>
    </row>
    <row r="126" spans="3:15">
      <c r="C126" s="1732"/>
      <c r="D126" s="1732"/>
      <c r="E126" s="1732"/>
      <c r="F126" s="1732"/>
      <c r="G126" s="1732"/>
      <c r="H126" s="1732"/>
      <c r="I126" s="1732"/>
      <c r="J126" s="1732"/>
      <c r="K126" s="1732"/>
      <c r="L126" s="1732"/>
      <c r="M126" s="1732"/>
      <c r="N126" s="1732"/>
      <c r="O126" s="1732"/>
    </row>
    <row r="127" spans="3:15" ht="13" thickBot="1">
      <c r="C127" s="1732"/>
      <c r="D127" s="1732"/>
      <c r="E127" s="1732"/>
      <c r="F127" s="1732"/>
      <c r="G127" s="1732"/>
      <c r="H127" s="1732"/>
      <c r="I127" s="1732"/>
      <c r="J127" s="1732"/>
      <c r="K127" s="1732"/>
      <c r="L127" s="1732"/>
      <c r="M127" s="1732"/>
      <c r="N127" s="1732"/>
      <c r="O127" s="1732"/>
    </row>
    <row r="128" spans="3:15" ht="13" thickTop="1">
      <c r="C128" s="904"/>
      <c r="D128" s="904" t="s">
        <v>1363</v>
      </c>
      <c r="E128" s="904" t="s">
        <v>1364</v>
      </c>
      <c r="F128" s="904" t="s">
        <v>1473</v>
      </c>
      <c r="G128" s="904" t="s">
        <v>1474</v>
      </c>
      <c r="H128" s="904" t="s">
        <v>1475</v>
      </c>
      <c r="I128" s="904" t="s">
        <v>1476</v>
      </c>
      <c r="J128" s="904" t="s">
        <v>497</v>
      </c>
      <c r="K128" s="904" t="s">
        <v>1511</v>
      </c>
      <c r="M128" s="1506" t="str">
        <f ca="1">OFFSET(ad_first,OFFSET(ads_top,ROW(ads_fn_VLOOKUP)-1,4),0)</f>
        <v>Our workshops review the finance principles and assumptions underlying the main spreadsheet financial functions.</v>
      </c>
      <c r="N128" s="1507"/>
      <c r="O128" s="1508"/>
    </row>
    <row r="129" spans="3:15">
      <c r="C129" s="904">
        <v>1</v>
      </c>
      <c r="D129" s="927"/>
      <c r="E129" s="906"/>
      <c r="F129" s="906"/>
      <c r="G129" s="906"/>
      <c r="H129" s="906"/>
      <c r="I129" s="906"/>
      <c r="J129" s="1734" t="s">
        <v>729</v>
      </c>
      <c r="K129" s="1734"/>
      <c r="M129" s="1509"/>
      <c r="N129" s="1510"/>
      <c r="O129" s="1511"/>
    </row>
    <row r="130" spans="3:15" ht="13" thickBot="1">
      <c r="C130" s="904">
        <v>2</v>
      </c>
      <c r="D130" s="928" t="s">
        <v>428</v>
      </c>
      <c r="E130" s="904" t="s">
        <v>429</v>
      </c>
      <c r="F130" s="906"/>
      <c r="G130" s="906"/>
      <c r="H130" s="906"/>
      <c r="I130" s="906"/>
      <c r="J130" s="908" t="s">
        <v>777</v>
      </c>
      <c r="K130" s="908" t="s">
        <v>429</v>
      </c>
      <c r="M130" s="1509"/>
      <c r="N130" s="1510"/>
      <c r="O130" s="1511"/>
    </row>
    <row r="131" spans="3:15" ht="13" thickBot="1">
      <c r="C131" s="910">
        <v>3</v>
      </c>
      <c r="D131" s="911" t="s">
        <v>731</v>
      </c>
      <c r="E131" s="912">
        <f>VLOOKUP(D131,J131:K135,2,TRUE)</f>
        <v>0.35</v>
      </c>
      <c r="F131" s="900" t="s">
        <v>1241</v>
      </c>
      <c r="G131" s="906"/>
      <c r="H131" s="906"/>
      <c r="I131" s="913"/>
      <c r="J131" s="914" t="s">
        <v>1363</v>
      </c>
      <c r="K131" s="915">
        <v>0.05</v>
      </c>
      <c r="M131" s="1509"/>
      <c r="N131" s="1510"/>
      <c r="O131" s="1511"/>
    </row>
    <row r="132" spans="3:15" ht="13" thickBot="1">
      <c r="C132" s="904">
        <v>4</v>
      </c>
      <c r="D132" s="929"/>
      <c r="E132" s="906"/>
      <c r="F132" s="906"/>
      <c r="G132" s="906"/>
      <c r="H132" s="906"/>
      <c r="I132" s="913"/>
      <c r="J132" s="917" t="s">
        <v>1473</v>
      </c>
      <c r="K132" s="918">
        <v>0.15</v>
      </c>
      <c r="M132" s="1512"/>
      <c r="N132" s="1513"/>
      <c r="O132" s="1514"/>
    </row>
    <row r="133" spans="3:15" ht="13" thickTop="1">
      <c r="C133" s="904">
        <v>5</v>
      </c>
      <c r="D133" s="927"/>
      <c r="E133" s="906"/>
      <c r="F133" s="906"/>
      <c r="G133" s="906"/>
      <c r="H133" s="906"/>
      <c r="I133" s="913"/>
      <c r="J133" s="917" t="s">
        <v>731</v>
      </c>
      <c r="K133" s="918">
        <v>0.35</v>
      </c>
    </row>
    <row r="134" spans="3:15">
      <c r="C134" s="904">
        <v>6</v>
      </c>
      <c r="D134" s="927"/>
      <c r="E134" s="906"/>
      <c r="F134" s="906"/>
      <c r="G134" s="906"/>
      <c r="H134" s="906"/>
      <c r="I134" s="913"/>
      <c r="J134" s="917" t="s">
        <v>698</v>
      </c>
      <c r="K134" s="918">
        <v>0.42</v>
      </c>
    </row>
    <row r="135" spans="3:15" ht="13" thickBot="1">
      <c r="C135" s="904">
        <v>7</v>
      </c>
      <c r="D135" s="927"/>
      <c r="E135" s="906"/>
      <c r="F135" s="906"/>
      <c r="G135" s="906"/>
      <c r="H135" s="906"/>
      <c r="I135" s="913"/>
      <c r="J135" s="919" t="s">
        <v>699</v>
      </c>
      <c r="K135" s="920">
        <v>0.47</v>
      </c>
    </row>
    <row r="136" spans="3:15">
      <c r="C136" s="904">
        <v>8</v>
      </c>
      <c r="D136" s="927"/>
      <c r="E136" s="906"/>
      <c r="F136" s="906"/>
      <c r="G136" s="906"/>
      <c r="H136" s="906"/>
      <c r="I136" s="906"/>
      <c r="J136" s="921"/>
      <c r="K136" s="921"/>
    </row>
    <row r="137" spans="3:15"/>
    <row r="138" spans="3:15">
      <c r="C138" s="1735" t="s">
        <v>1601</v>
      </c>
      <c r="D138" s="1732"/>
      <c r="E138" s="1732"/>
      <c r="F138" s="1732"/>
      <c r="G138" s="1732"/>
      <c r="H138" s="1732"/>
      <c r="I138" s="1732"/>
      <c r="J138" s="1732"/>
      <c r="K138" s="1732"/>
      <c r="L138" s="1732"/>
      <c r="M138" s="1732"/>
      <c r="N138" s="1732"/>
      <c r="O138" s="1732"/>
    </row>
    <row r="139" spans="3:15">
      <c r="C139" s="1684"/>
      <c r="D139" s="1732"/>
      <c r="E139" s="1732"/>
      <c r="F139" s="1732"/>
      <c r="G139" s="1732"/>
      <c r="H139" s="1732"/>
      <c r="I139" s="1732"/>
      <c r="J139" s="1732"/>
      <c r="K139" s="1732"/>
      <c r="L139" s="1732"/>
      <c r="M139" s="1732"/>
      <c r="N139" s="1732"/>
      <c r="O139" s="1732"/>
    </row>
    <row r="140" spans="3:15">
      <c r="C140" s="1684"/>
      <c r="D140" s="1732"/>
      <c r="E140" s="1732"/>
      <c r="F140" s="1732"/>
      <c r="G140" s="1732"/>
      <c r="H140" s="1732"/>
      <c r="I140" s="1732"/>
      <c r="J140" s="1732"/>
      <c r="K140" s="1732"/>
      <c r="L140" s="1732"/>
      <c r="M140" s="1732"/>
      <c r="N140" s="1732"/>
      <c r="O140" s="1732"/>
    </row>
    <row r="141" spans="3:15">
      <c r="C141" s="1732"/>
      <c r="D141" s="1732"/>
      <c r="E141" s="1732"/>
      <c r="F141" s="1732"/>
      <c r="G141" s="1732"/>
      <c r="H141" s="1732"/>
      <c r="I141" s="1732"/>
      <c r="J141" s="1732"/>
      <c r="K141" s="1732"/>
      <c r="L141" s="1732"/>
      <c r="M141" s="1732"/>
      <c r="N141" s="1732"/>
      <c r="O141" s="1732"/>
    </row>
    <row r="142" spans="3:15"/>
    <row r="143" spans="3:15">
      <c r="C143" s="904"/>
      <c r="D143" s="904" t="s">
        <v>1363</v>
      </c>
      <c r="E143" s="904" t="s">
        <v>1364</v>
      </c>
      <c r="F143" s="904" t="s">
        <v>1473</v>
      </c>
      <c r="G143" s="904" t="s">
        <v>1474</v>
      </c>
      <c r="H143" s="904" t="s">
        <v>1475</v>
      </c>
      <c r="I143" s="904" t="s">
        <v>1476</v>
      </c>
      <c r="J143" s="904" t="s">
        <v>497</v>
      </c>
      <c r="K143" s="904" t="s">
        <v>1511</v>
      </c>
    </row>
    <row r="144" spans="3:15">
      <c r="C144" s="904">
        <v>1</v>
      </c>
      <c r="D144" s="906"/>
      <c r="E144" s="906"/>
      <c r="F144" s="906"/>
      <c r="G144" s="906"/>
      <c r="H144" s="906"/>
      <c r="I144" s="906"/>
      <c r="J144" s="1734" t="s">
        <v>729</v>
      </c>
      <c r="K144" s="1736"/>
    </row>
    <row r="145" spans="3:15" ht="13" thickBot="1">
      <c r="C145" s="904">
        <v>2</v>
      </c>
      <c r="D145" s="907" t="s">
        <v>428</v>
      </c>
      <c r="E145" s="904" t="s">
        <v>429</v>
      </c>
      <c r="F145" s="906"/>
      <c r="G145" s="906"/>
      <c r="H145" s="906"/>
      <c r="I145" s="906"/>
      <c r="J145" s="908" t="s">
        <v>777</v>
      </c>
      <c r="K145" s="908" t="s">
        <v>429</v>
      </c>
    </row>
    <row r="146" spans="3:15" ht="13" thickBot="1">
      <c r="C146" s="910">
        <v>3</v>
      </c>
      <c r="D146" s="911" t="s">
        <v>1364</v>
      </c>
      <c r="E146" s="912" t="e">
        <f>VLOOKUP(D146,J146:K150,2,TRUE)</f>
        <v>#N/A</v>
      </c>
      <c r="F146" s="900" t="s">
        <v>1241</v>
      </c>
      <c r="G146" s="906"/>
      <c r="H146" s="906"/>
      <c r="I146" s="913"/>
      <c r="J146" s="914" t="s">
        <v>1473</v>
      </c>
      <c r="K146" s="915">
        <v>0.05</v>
      </c>
    </row>
    <row r="147" spans="3:15">
      <c r="C147" s="904">
        <v>4</v>
      </c>
      <c r="D147" s="916"/>
      <c r="E147" s="906"/>
      <c r="F147" s="906"/>
      <c r="G147" s="906"/>
      <c r="H147" s="906"/>
      <c r="I147" s="913"/>
      <c r="J147" s="917" t="s">
        <v>1363</v>
      </c>
      <c r="K147" s="918">
        <v>0.15</v>
      </c>
    </row>
    <row r="148" spans="3:15">
      <c r="C148" s="904">
        <v>5</v>
      </c>
      <c r="D148" s="906"/>
      <c r="E148" s="906"/>
      <c r="F148" s="906"/>
      <c r="G148" s="906"/>
      <c r="H148" s="906"/>
      <c r="I148" s="913"/>
      <c r="J148" s="917" t="s">
        <v>1474</v>
      </c>
      <c r="K148" s="918">
        <v>0.35</v>
      </c>
    </row>
    <row r="149" spans="3:15">
      <c r="C149" s="904">
        <v>6</v>
      </c>
      <c r="D149" s="906"/>
      <c r="E149" s="906"/>
      <c r="F149" s="906"/>
      <c r="G149" s="906"/>
      <c r="H149" s="906"/>
      <c r="I149" s="913"/>
      <c r="J149" s="917" t="s">
        <v>1475</v>
      </c>
      <c r="K149" s="918">
        <v>0.42</v>
      </c>
    </row>
    <row r="150" spans="3:15" ht="13" thickBot="1">
      <c r="C150" s="904">
        <v>7</v>
      </c>
      <c r="D150" s="906"/>
      <c r="E150" s="906"/>
      <c r="F150" s="906"/>
      <c r="G150" s="906"/>
      <c r="H150" s="906"/>
      <c r="I150" s="913"/>
      <c r="J150" s="919" t="s">
        <v>1476</v>
      </c>
      <c r="K150" s="920">
        <v>0.47</v>
      </c>
    </row>
    <row r="151" spans="3:15">
      <c r="C151" s="904">
        <v>8</v>
      </c>
      <c r="D151" s="906"/>
      <c r="E151" s="906"/>
      <c r="F151" s="906"/>
      <c r="G151" s="906"/>
      <c r="H151" s="906"/>
      <c r="I151" s="906"/>
      <c r="J151" s="921"/>
      <c r="K151" s="921"/>
    </row>
    <row r="152" spans="3:15"/>
    <row r="153" spans="3:15">
      <c r="C153" s="1732" t="s">
        <v>966</v>
      </c>
      <c r="D153" s="1732"/>
      <c r="E153" s="1732"/>
      <c r="F153" s="1732"/>
      <c r="G153" s="1732"/>
      <c r="H153" s="1732"/>
      <c r="I153" s="1732"/>
      <c r="J153" s="1732"/>
      <c r="K153" s="1732"/>
      <c r="L153" s="1732"/>
      <c r="M153" s="1732"/>
      <c r="N153" s="1732"/>
      <c r="O153" s="1732"/>
    </row>
    <row r="154" spans="3:15">
      <c r="C154" s="1732"/>
      <c r="D154" s="1732"/>
      <c r="E154" s="1732"/>
      <c r="F154" s="1732"/>
      <c r="G154" s="1732"/>
      <c r="H154" s="1732"/>
      <c r="I154" s="1732"/>
      <c r="J154" s="1732"/>
      <c r="K154" s="1732"/>
      <c r="L154" s="1732"/>
      <c r="M154" s="1732"/>
      <c r="N154" s="1732"/>
      <c r="O154" s="1732"/>
    </row>
    <row r="155" spans="3:15"/>
    <row r="156" spans="3:15">
      <c r="C156" s="904"/>
      <c r="D156" s="904" t="s">
        <v>1363</v>
      </c>
      <c r="E156" s="904" t="s">
        <v>1364</v>
      </c>
      <c r="F156" s="904" t="s">
        <v>1473</v>
      </c>
      <c r="G156" s="904" t="s">
        <v>1474</v>
      </c>
      <c r="H156" s="904" t="s">
        <v>1475</v>
      </c>
      <c r="I156" s="904" t="s">
        <v>1476</v>
      </c>
      <c r="J156" s="904" t="s">
        <v>497</v>
      </c>
      <c r="K156" s="904" t="s">
        <v>1511</v>
      </c>
    </row>
    <row r="157" spans="3:15">
      <c r="C157" s="904">
        <v>1</v>
      </c>
      <c r="D157" s="906"/>
      <c r="E157" s="906"/>
      <c r="F157" s="906"/>
      <c r="G157" s="906"/>
      <c r="H157" s="906"/>
      <c r="I157" s="906"/>
      <c r="J157" s="1734" t="s">
        <v>729</v>
      </c>
      <c r="K157" s="1736"/>
    </row>
    <row r="158" spans="3:15" ht="13" thickBot="1">
      <c r="C158" s="904">
        <v>2</v>
      </c>
      <c r="D158" s="907" t="s">
        <v>428</v>
      </c>
      <c r="E158" s="904" t="s">
        <v>429</v>
      </c>
      <c r="F158" s="906"/>
      <c r="G158" s="906"/>
      <c r="H158" s="906"/>
      <c r="I158" s="906"/>
      <c r="J158" s="908" t="s">
        <v>777</v>
      </c>
      <c r="K158" s="908" t="s">
        <v>429</v>
      </c>
    </row>
    <row r="159" spans="3:15" ht="13" thickBot="1">
      <c r="C159" s="910">
        <v>3</v>
      </c>
      <c r="D159" s="911" t="s">
        <v>1364</v>
      </c>
      <c r="E159" s="912" t="e">
        <f>VLOOKUP(D159,J159:K163,2,TRUE)</f>
        <v>#N/A</v>
      </c>
      <c r="F159" s="900" t="s">
        <v>1241</v>
      </c>
      <c r="G159" s="906"/>
      <c r="H159" s="906"/>
      <c r="I159" s="913"/>
      <c r="J159" s="914" t="s">
        <v>1473</v>
      </c>
      <c r="K159" s="915">
        <v>0.05</v>
      </c>
    </row>
    <row r="160" spans="3:15">
      <c r="C160" s="904">
        <v>4</v>
      </c>
      <c r="D160" s="916"/>
      <c r="E160" s="906"/>
      <c r="F160" s="906"/>
      <c r="G160" s="906"/>
      <c r="H160" s="906"/>
      <c r="I160" s="913"/>
      <c r="J160" s="917" t="s">
        <v>1364</v>
      </c>
      <c r="K160" s="918">
        <v>0.15</v>
      </c>
    </row>
    <row r="161" spans="3:15">
      <c r="C161" s="904">
        <v>5</v>
      </c>
      <c r="D161" s="906"/>
      <c r="E161" s="906"/>
      <c r="F161" s="906"/>
      <c r="G161" s="906"/>
      <c r="H161" s="906"/>
      <c r="I161" s="913"/>
      <c r="J161" s="917" t="s">
        <v>1474</v>
      </c>
      <c r="K161" s="918">
        <v>0.35</v>
      </c>
    </row>
    <row r="162" spans="3:15">
      <c r="C162" s="904">
        <v>6</v>
      </c>
      <c r="D162" s="906"/>
      <c r="E162" s="906"/>
      <c r="F162" s="906"/>
      <c r="G162" s="906"/>
      <c r="H162" s="906"/>
      <c r="I162" s="913"/>
      <c r="J162" s="917" t="s">
        <v>1475</v>
      </c>
      <c r="K162" s="918">
        <v>0.42</v>
      </c>
    </row>
    <row r="163" spans="3:15" ht="13" thickBot="1">
      <c r="C163" s="904">
        <v>7</v>
      </c>
      <c r="D163" s="906"/>
      <c r="E163" s="906"/>
      <c r="F163" s="906"/>
      <c r="G163" s="906"/>
      <c r="H163" s="906"/>
      <c r="I163" s="913"/>
      <c r="J163" s="919" t="s">
        <v>1476</v>
      </c>
      <c r="K163" s="920">
        <v>0.47</v>
      </c>
    </row>
    <row r="164" spans="3:15">
      <c r="C164" s="904">
        <v>8</v>
      </c>
      <c r="D164" s="906"/>
      <c r="E164" s="906"/>
      <c r="F164" s="906"/>
      <c r="G164" s="906"/>
      <c r="H164" s="906"/>
      <c r="I164" s="906"/>
      <c r="J164" s="921"/>
      <c r="K164" s="921"/>
    </row>
    <row r="165" spans="3:15"/>
    <row r="166" spans="3:15">
      <c r="C166" s="1732" t="s">
        <v>967</v>
      </c>
      <c r="D166" s="1732"/>
      <c r="E166" s="1732"/>
      <c r="F166" s="1732"/>
      <c r="G166" s="1732"/>
      <c r="H166" s="1732"/>
      <c r="I166" s="1732"/>
      <c r="J166" s="1732"/>
      <c r="K166" s="1732"/>
      <c r="L166" s="1732"/>
      <c r="M166" s="1732"/>
      <c r="N166" s="1732"/>
      <c r="O166" s="1732"/>
    </row>
    <row r="167" spans="3:15"/>
    <row r="168" spans="3:15">
      <c r="C168" s="1732" t="s">
        <v>12</v>
      </c>
      <c r="D168" s="1732"/>
      <c r="E168" s="1732"/>
      <c r="F168" s="1732"/>
      <c r="G168" s="1732"/>
      <c r="H168" s="1732"/>
      <c r="I168" s="1732"/>
      <c r="J168" s="1732"/>
      <c r="K168" s="1732"/>
      <c r="L168" s="1732"/>
      <c r="M168" s="1732"/>
      <c r="N168" s="1732"/>
      <c r="O168" s="1732"/>
    </row>
    <row r="169" spans="3:15">
      <c r="C169" s="1732"/>
      <c r="D169" s="1732"/>
      <c r="E169" s="1732"/>
      <c r="F169" s="1732"/>
      <c r="G169" s="1732"/>
      <c r="H169" s="1732"/>
      <c r="I169" s="1732"/>
      <c r="J169" s="1732"/>
      <c r="K169" s="1732"/>
      <c r="L169" s="1732"/>
      <c r="M169" s="1732"/>
      <c r="N169" s="1732"/>
      <c r="O169" s="1732"/>
    </row>
    <row r="170" spans="3:15">
      <c r="C170" s="1732"/>
      <c r="D170" s="1732"/>
      <c r="E170" s="1732"/>
      <c r="F170" s="1732"/>
      <c r="G170" s="1732"/>
      <c r="H170" s="1732"/>
      <c r="I170" s="1732"/>
      <c r="J170" s="1732"/>
      <c r="K170" s="1732"/>
      <c r="L170" s="1732"/>
      <c r="M170" s="1732"/>
      <c r="N170" s="1732"/>
      <c r="O170" s="1732"/>
    </row>
    <row r="171" spans="3:15">
      <c r="C171" s="1732"/>
      <c r="D171" s="1732"/>
      <c r="E171" s="1732"/>
      <c r="F171" s="1732"/>
      <c r="G171" s="1732"/>
      <c r="H171" s="1732"/>
      <c r="I171" s="1732"/>
      <c r="J171" s="1732"/>
      <c r="K171" s="1732"/>
      <c r="L171" s="1732"/>
      <c r="M171" s="1732"/>
      <c r="N171" s="1732"/>
      <c r="O171" s="1732"/>
    </row>
    <row r="172" spans="3:15">
      <c r="C172" s="1732"/>
      <c r="D172" s="1732"/>
      <c r="E172" s="1732"/>
      <c r="F172" s="1732"/>
      <c r="G172" s="1732"/>
      <c r="H172" s="1732"/>
      <c r="I172" s="1732"/>
      <c r="J172" s="1732"/>
      <c r="K172" s="1732"/>
      <c r="L172" s="1732"/>
      <c r="M172" s="1732"/>
      <c r="N172" s="1732"/>
      <c r="O172" s="1732"/>
    </row>
    <row r="173" spans="3:15">
      <c r="C173" s="904"/>
      <c r="D173" s="904" t="s">
        <v>1363</v>
      </c>
      <c r="E173" s="904" t="s">
        <v>1364</v>
      </c>
      <c r="F173" s="904" t="s">
        <v>1473</v>
      </c>
      <c r="G173" s="904" t="s">
        <v>1474</v>
      </c>
      <c r="H173" s="904" t="s">
        <v>1475</v>
      </c>
      <c r="I173" s="904" t="s">
        <v>1476</v>
      </c>
      <c r="J173" s="904" t="s">
        <v>497</v>
      </c>
      <c r="K173" s="904" t="s">
        <v>1511</v>
      </c>
    </row>
    <row r="174" spans="3:15">
      <c r="C174" s="904">
        <v>1</v>
      </c>
      <c r="D174" s="906"/>
      <c r="E174" s="906"/>
      <c r="F174" s="906"/>
      <c r="G174" s="906"/>
      <c r="H174" s="906"/>
      <c r="I174" s="906"/>
      <c r="J174" s="1734" t="s">
        <v>729</v>
      </c>
      <c r="K174" s="1736"/>
    </row>
    <row r="175" spans="3:15" ht="13" thickBot="1">
      <c r="C175" s="904">
        <v>2</v>
      </c>
      <c r="D175" s="907" t="s">
        <v>428</v>
      </c>
      <c r="E175" s="904" t="s">
        <v>429</v>
      </c>
      <c r="F175" s="906"/>
      <c r="G175" s="906"/>
      <c r="H175" s="906"/>
      <c r="I175" s="906"/>
      <c r="J175" s="908" t="s">
        <v>429</v>
      </c>
      <c r="K175" s="908" t="s">
        <v>777</v>
      </c>
    </row>
    <row r="176" spans="3:15" ht="13" thickBot="1">
      <c r="C176" s="910">
        <v>3</v>
      </c>
      <c r="D176" s="911" t="s">
        <v>1364</v>
      </c>
      <c r="E176" s="912" t="e">
        <f>VLOOKUP(D176,J176:K180,2,TRUE)</f>
        <v>#N/A</v>
      </c>
      <c r="F176" s="900" t="s">
        <v>1241</v>
      </c>
      <c r="G176" s="906"/>
      <c r="H176" s="906"/>
      <c r="I176" s="913"/>
      <c r="J176" s="930">
        <v>0.05</v>
      </c>
      <c r="K176" s="931" t="s">
        <v>1363</v>
      </c>
    </row>
    <row r="177" spans="3:15">
      <c r="C177" s="904">
        <v>4</v>
      </c>
      <c r="D177" s="916"/>
      <c r="E177" s="906"/>
      <c r="F177" s="906"/>
      <c r="G177" s="906"/>
      <c r="H177" s="906"/>
      <c r="I177" s="913"/>
      <c r="J177" s="932">
        <v>0.15</v>
      </c>
      <c r="K177" s="933" t="s">
        <v>1364</v>
      </c>
    </row>
    <row r="178" spans="3:15">
      <c r="C178" s="904">
        <v>5</v>
      </c>
      <c r="D178" s="906"/>
      <c r="E178" s="906"/>
      <c r="F178" s="906"/>
      <c r="G178" s="906"/>
      <c r="H178" s="906"/>
      <c r="I178" s="913"/>
      <c r="J178" s="932">
        <v>0.35</v>
      </c>
      <c r="K178" s="933" t="s">
        <v>1473</v>
      </c>
    </row>
    <row r="179" spans="3:15">
      <c r="C179" s="904">
        <v>6</v>
      </c>
      <c r="D179" s="906"/>
      <c r="E179" s="906"/>
      <c r="F179" s="906"/>
      <c r="G179" s="906"/>
      <c r="H179" s="906"/>
      <c r="I179" s="913"/>
      <c r="J179" s="932">
        <v>0.42</v>
      </c>
      <c r="K179" s="933" t="s">
        <v>1474</v>
      </c>
    </row>
    <row r="180" spans="3:15" ht="13" thickBot="1">
      <c r="C180" s="904">
        <v>7</v>
      </c>
      <c r="D180" s="906"/>
      <c r="E180" s="906"/>
      <c r="F180" s="906"/>
      <c r="G180" s="906"/>
      <c r="H180" s="906"/>
      <c r="I180" s="913"/>
      <c r="J180" s="934">
        <v>0.47</v>
      </c>
      <c r="K180" s="935" t="s">
        <v>1475</v>
      </c>
    </row>
    <row r="181" spans="3:15">
      <c r="C181" s="904">
        <v>8</v>
      </c>
      <c r="D181" s="906"/>
      <c r="E181" s="906"/>
      <c r="F181" s="906"/>
      <c r="G181" s="906"/>
      <c r="H181" s="906"/>
      <c r="I181" s="906"/>
      <c r="J181" s="921"/>
      <c r="K181" s="921"/>
    </row>
    <row r="182" spans="3:15"/>
    <row r="183" spans="3:15">
      <c r="C183" s="1732" t="s">
        <v>474</v>
      </c>
      <c r="D183" s="1732"/>
      <c r="E183" s="1732"/>
      <c r="F183" s="1732"/>
      <c r="G183" s="1732"/>
      <c r="H183" s="1732"/>
      <c r="I183" s="1732"/>
      <c r="J183" s="1732"/>
      <c r="K183" s="1732"/>
      <c r="L183" s="1732"/>
      <c r="M183" s="1732"/>
      <c r="N183" s="1732"/>
      <c r="O183" s="1732"/>
    </row>
    <row r="184" spans="3:15">
      <c r="C184" s="1732"/>
      <c r="D184" s="1732"/>
      <c r="E184" s="1732"/>
      <c r="F184" s="1732"/>
      <c r="G184" s="1732"/>
      <c r="H184" s="1732"/>
      <c r="I184" s="1732"/>
      <c r="J184" s="1732"/>
      <c r="K184" s="1732"/>
      <c r="L184" s="1732"/>
      <c r="M184" s="1732"/>
      <c r="N184" s="1732"/>
      <c r="O184" s="1732"/>
    </row>
    <row r="185" spans="3:15">
      <c r="C185" s="1732"/>
      <c r="D185" s="1732"/>
      <c r="E185" s="1732"/>
      <c r="F185" s="1732"/>
      <c r="G185" s="1732"/>
      <c r="H185" s="1732"/>
      <c r="I185" s="1732"/>
      <c r="J185" s="1732"/>
      <c r="K185" s="1732"/>
      <c r="L185" s="1732"/>
      <c r="M185" s="1732"/>
      <c r="N185" s="1732"/>
      <c r="O185" s="1732"/>
    </row>
    <row r="186" spans="3:15"/>
    <row r="187" spans="3:15">
      <c r="C187" s="904"/>
      <c r="D187" s="904" t="s">
        <v>1363</v>
      </c>
      <c r="E187" s="904" t="s">
        <v>1364</v>
      </c>
      <c r="F187" s="904" t="s">
        <v>1473</v>
      </c>
      <c r="G187" s="904" t="s">
        <v>1474</v>
      </c>
      <c r="H187" s="904" t="s">
        <v>1475</v>
      </c>
      <c r="I187" s="904" t="s">
        <v>1476</v>
      </c>
      <c r="J187" s="904" t="s">
        <v>497</v>
      </c>
      <c r="K187" s="904" t="s">
        <v>1511</v>
      </c>
    </row>
    <row r="188" spans="3:15">
      <c r="C188" s="904">
        <v>1</v>
      </c>
      <c r="D188" s="906"/>
      <c r="E188" s="906"/>
      <c r="F188" s="906"/>
      <c r="G188" s="906"/>
      <c r="H188" s="906"/>
      <c r="I188" s="906"/>
      <c r="J188" s="1734" t="s">
        <v>729</v>
      </c>
      <c r="K188" s="1734"/>
    </row>
    <row r="189" spans="3:15" ht="13" thickBot="1">
      <c r="C189" s="904">
        <v>2</v>
      </c>
      <c r="D189" s="907" t="s">
        <v>428</v>
      </c>
      <c r="E189" s="904" t="s">
        <v>429</v>
      </c>
      <c r="F189" s="906"/>
      <c r="G189" s="906"/>
      <c r="H189" s="906"/>
      <c r="I189" s="906"/>
      <c r="J189" s="908" t="s">
        <v>777</v>
      </c>
      <c r="K189" s="1074" t="s">
        <v>429</v>
      </c>
    </row>
    <row r="190" spans="3:15" ht="13" thickBot="1">
      <c r="C190" s="910">
        <v>3</v>
      </c>
      <c r="D190" s="911" t="s">
        <v>731</v>
      </c>
      <c r="E190" s="912" t="e">
        <f>VLOOKUP(D190,J190:J194,2,TRUE)</f>
        <v>#REF!</v>
      </c>
      <c r="F190" s="900" t="s">
        <v>1201</v>
      </c>
      <c r="G190" s="906"/>
      <c r="H190" s="906"/>
      <c r="I190" s="913"/>
      <c r="J190" s="936" t="s">
        <v>1363</v>
      </c>
      <c r="K190" s="937">
        <v>0.05</v>
      </c>
    </row>
    <row r="191" spans="3:15">
      <c r="C191" s="904">
        <v>4</v>
      </c>
      <c r="D191" s="916"/>
      <c r="E191" s="906"/>
      <c r="F191" s="906"/>
      <c r="G191" s="906"/>
      <c r="H191" s="906"/>
      <c r="I191" s="913"/>
      <c r="J191" s="938" t="s">
        <v>1473</v>
      </c>
      <c r="K191" s="937">
        <v>0.15</v>
      </c>
    </row>
    <row r="192" spans="3:15">
      <c r="C192" s="904">
        <v>5</v>
      </c>
      <c r="D192" s="906"/>
      <c r="E192" s="906"/>
      <c r="F192" s="906"/>
      <c r="G192" s="906"/>
      <c r="H192" s="906"/>
      <c r="I192" s="913"/>
      <c r="J192" s="938" t="s">
        <v>731</v>
      </c>
      <c r="K192" s="937">
        <v>0.35</v>
      </c>
    </row>
    <row r="193" spans="3:15">
      <c r="C193" s="904">
        <v>6</v>
      </c>
      <c r="D193" s="906"/>
      <c r="E193" s="906"/>
      <c r="F193" s="906"/>
      <c r="G193" s="906"/>
      <c r="H193" s="906"/>
      <c r="I193" s="913"/>
      <c r="J193" s="938" t="s">
        <v>698</v>
      </c>
      <c r="K193" s="937">
        <v>0.42</v>
      </c>
    </row>
    <row r="194" spans="3:15" ht="13" thickBot="1">
      <c r="C194" s="904">
        <v>7</v>
      </c>
      <c r="D194" s="906"/>
      <c r="E194" s="906"/>
      <c r="F194" s="906"/>
      <c r="G194" s="906"/>
      <c r="H194" s="906"/>
      <c r="I194" s="913"/>
      <c r="J194" s="939" t="s">
        <v>699</v>
      </c>
      <c r="K194" s="937">
        <v>0.47</v>
      </c>
    </row>
    <row r="195" spans="3:15">
      <c r="C195" s="904">
        <v>8</v>
      </c>
      <c r="D195" s="906"/>
      <c r="E195" s="906"/>
      <c r="F195" s="906"/>
      <c r="G195" s="906"/>
      <c r="H195" s="906"/>
      <c r="I195" s="906"/>
      <c r="J195" s="921"/>
      <c r="K195" s="1075"/>
    </row>
    <row r="196" spans="3:15"/>
    <row r="197" spans="3:15">
      <c r="C197" s="1732" t="s">
        <v>882</v>
      </c>
      <c r="D197" s="1732"/>
      <c r="E197" s="1732"/>
      <c r="F197" s="1732"/>
      <c r="G197" s="1732"/>
      <c r="H197" s="1732"/>
      <c r="I197" s="1732"/>
      <c r="J197" s="1732"/>
      <c r="K197" s="1732"/>
      <c r="L197" s="1732"/>
      <c r="M197" s="1732"/>
      <c r="N197" s="1732"/>
      <c r="O197" s="1732"/>
    </row>
    <row r="198" spans="3:15">
      <c r="C198" s="1732"/>
      <c r="D198" s="1732"/>
      <c r="E198" s="1732"/>
      <c r="F198" s="1732"/>
      <c r="G198" s="1732"/>
      <c r="H198" s="1732"/>
      <c r="I198" s="1732"/>
      <c r="J198" s="1732"/>
      <c r="K198" s="1732"/>
      <c r="L198" s="1732"/>
      <c r="M198" s="1732"/>
      <c r="N198" s="1732"/>
      <c r="O198" s="1732"/>
    </row>
    <row r="199" spans="3:15" ht="13" thickBot="1"/>
    <row r="200" spans="3:15" ht="13" thickTop="1">
      <c r="C200" s="904"/>
      <c r="D200" s="904" t="s">
        <v>1363</v>
      </c>
      <c r="E200" s="904" t="s">
        <v>1364</v>
      </c>
      <c r="F200" s="904" t="s">
        <v>1473</v>
      </c>
      <c r="G200" s="904" t="s">
        <v>1474</v>
      </c>
      <c r="H200" s="904" t="s">
        <v>1475</v>
      </c>
      <c r="I200" s="904" t="s">
        <v>1476</v>
      </c>
      <c r="J200" s="904" t="s">
        <v>497</v>
      </c>
      <c r="K200" s="904" t="s">
        <v>1511</v>
      </c>
      <c r="M200" s="1506" t="str">
        <f ca="1">OFFSET(ad_first,OFFSET(ads_top,ROW(ads_fn_VLOOKUP)-1,5),0)</f>
        <v>Our financial modelling course shows the essential building blocks of efficient and well-presented financial models</v>
      </c>
      <c r="N200" s="1507"/>
      <c r="O200" s="1508"/>
    </row>
    <row r="201" spans="3:15" ht="13" thickBot="1">
      <c r="C201" s="904">
        <v>1</v>
      </c>
      <c r="D201" s="906"/>
      <c r="E201" s="906"/>
      <c r="F201" s="907"/>
      <c r="G201" s="906"/>
      <c r="H201" s="906"/>
      <c r="I201" s="906"/>
      <c r="J201" s="1734" t="s">
        <v>729</v>
      </c>
      <c r="K201" s="1736"/>
      <c r="M201" s="1509"/>
      <c r="N201" s="1510"/>
      <c r="O201" s="1511"/>
    </row>
    <row r="202" spans="3:15" ht="13" thickBot="1">
      <c r="C202" s="904">
        <v>2</v>
      </c>
      <c r="D202" s="906" t="s">
        <v>428</v>
      </c>
      <c r="E202" s="913"/>
      <c r="F202" s="982" t="s">
        <v>1476</v>
      </c>
      <c r="G202" s="927"/>
      <c r="H202" s="906"/>
      <c r="I202" s="906"/>
      <c r="J202" s="908" t="s">
        <v>429</v>
      </c>
      <c r="K202" s="908" t="s">
        <v>777</v>
      </c>
      <c r="M202" s="1509"/>
      <c r="N202" s="1510"/>
      <c r="O202" s="1511"/>
    </row>
    <row r="203" spans="3:15" ht="13" thickBot="1">
      <c r="C203" s="904">
        <v>3</v>
      </c>
      <c r="D203" s="906"/>
      <c r="E203" s="906"/>
      <c r="F203" s="940"/>
      <c r="G203" s="906"/>
      <c r="H203" s="906"/>
      <c r="I203" s="913"/>
      <c r="J203" s="914" t="s">
        <v>1364</v>
      </c>
      <c r="K203" s="915">
        <v>0.05</v>
      </c>
      <c r="M203" s="1509"/>
      <c r="N203" s="1510"/>
      <c r="O203" s="1511"/>
    </row>
    <row r="204" spans="3:15" ht="13" thickBot="1">
      <c r="C204" s="904">
        <v>4</v>
      </c>
      <c r="D204" s="906" t="s">
        <v>883</v>
      </c>
      <c r="E204" s="913"/>
      <c r="F204" s="983" t="b">
        <v>0</v>
      </c>
      <c r="G204" s="927"/>
      <c r="H204" s="906"/>
      <c r="I204" s="913"/>
      <c r="J204" s="917" t="s">
        <v>1474</v>
      </c>
      <c r="K204" s="918">
        <v>0.15</v>
      </c>
      <c r="M204" s="1512"/>
      <c r="N204" s="1513"/>
      <c r="O204" s="1514"/>
    </row>
    <row r="205" spans="3:15">
      <c r="C205" s="904">
        <v>5</v>
      </c>
      <c r="D205" s="906"/>
      <c r="E205" s="906"/>
      <c r="F205" s="916"/>
      <c r="G205" s="906"/>
      <c r="H205" s="906"/>
      <c r="I205" s="913"/>
      <c r="J205" s="917" t="s">
        <v>1475</v>
      </c>
      <c r="K205" s="918">
        <v>0.35</v>
      </c>
    </row>
    <row r="206" spans="3:15">
      <c r="C206" s="904">
        <v>6</v>
      </c>
      <c r="D206" s="906"/>
      <c r="E206" s="906"/>
      <c r="F206" s="906"/>
      <c r="G206" s="906"/>
      <c r="H206" s="906"/>
      <c r="I206" s="913"/>
      <c r="J206" s="917" t="s">
        <v>1476</v>
      </c>
      <c r="K206" s="918">
        <v>0.42</v>
      </c>
    </row>
    <row r="207" spans="3:15" ht="13" thickBot="1">
      <c r="C207" s="904">
        <v>7</v>
      </c>
      <c r="D207" s="906"/>
      <c r="E207" s="906"/>
      <c r="F207" s="906"/>
      <c r="G207" s="906"/>
      <c r="H207" s="906"/>
      <c r="I207" s="913"/>
      <c r="J207" s="919" t="s">
        <v>497</v>
      </c>
      <c r="K207" s="920">
        <v>0.47</v>
      </c>
    </row>
    <row r="208" spans="3:15">
      <c r="C208" s="904">
        <v>8</v>
      </c>
      <c r="D208" s="906" t="s">
        <v>800</v>
      </c>
      <c r="E208" s="906"/>
      <c r="F208" s="941">
        <f>VLOOKUP(F202,J203:K207,2,F204)</f>
        <v>0.42</v>
      </c>
      <c r="G208" s="900" t="s">
        <v>1202</v>
      </c>
      <c r="H208" s="906"/>
      <c r="I208" s="906"/>
      <c r="J208" s="921"/>
      <c r="K208" s="921"/>
    </row>
    <row r="209" spans="3:15"/>
    <row r="210" spans="3:15" customFormat="1">
      <c r="C210" s="1697" t="str">
        <f>back_to_index</f>
        <v>Back to contents</v>
      </c>
      <c r="D210" s="1697"/>
      <c r="G210" s="1674" t="str">
        <f>page_prefix &amp; page_fn_VLOOKUP&amp; page_suffix</f>
        <v>- Page 37 -</v>
      </c>
      <c r="H210" s="1674"/>
      <c r="I210" s="1674"/>
      <c r="J210" s="1703"/>
      <c r="K210" s="1703"/>
      <c r="N210" s="1673" t="str">
        <f>back_to_top</f>
        <v>Back to top</v>
      </c>
      <c r="O210" s="1673"/>
    </row>
    <row r="211" spans="3:15" customFormat="1">
      <c r="G211" s="1674" t="str">
        <f>copyright</f>
        <v>Copyright (c) 2009 Tykoh Group Pty Limited</v>
      </c>
      <c r="H211" s="1674"/>
      <c r="I211" s="1674"/>
      <c r="J211" s="1703"/>
      <c r="K211" s="1703"/>
    </row>
    <row r="212" spans="3:15" customFormat="1">
      <c r="G212" s="1452" t="str">
        <f>home_address</f>
        <v>www.tykoh.com</v>
      </c>
      <c r="H212" s="1452"/>
      <c r="I212" s="1452"/>
      <c r="J212" s="1452"/>
      <c r="K212" s="1452"/>
    </row>
    <row r="213" spans="3:15"/>
  </sheetData>
  <sheetProtection algorithmName="SHA-512" hashValue="lREUdl6fVf+zxivqDM0QYzlKZdS/O+Qs+ug614DuBXAbJMZKsvRcYuGwm6IRQ912MgNuthtkACG9n3J7d5tekQ==" saltValue="lC3G7iZdFgNUT3jlNGWoJQ==" spinCount="100000" sheet="1" objects="1" scenarios="1"/>
  <mergeCells count="41">
    <mergeCell ref="G211:K211"/>
    <mergeCell ref="G212:K212"/>
    <mergeCell ref="C210:D210"/>
    <mergeCell ref="N210:O210"/>
    <mergeCell ref="J13:K13"/>
    <mergeCell ref="J70:K70"/>
    <mergeCell ref="C31:O33"/>
    <mergeCell ref="J36:K36"/>
    <mergeCell ref="C45:O49"/>
    <mergeCell ref="J51:K51"/>
    <mergeCell ref="G210:K210"/>
    <mergeCell ref="C125:O127"/>
    <mergeCell ref="J129:K129"/>
    <mergeCell ref="J157:K157"/>
    <mergeCell ref="C153:O154"/>
    <mergeCell ref="C22:O29"/>
    <mergeCell ref="C60:O67"/>
    <mergeCell ref="M69:O73"/>
    <mergeCell ref="C79:O81"/>
    <mergeCell ref="J201:K201"/>
    <mergeCell ref="J174:K174"/>
    <mergeCell ref="C166:O166"/>
    <mergeCell ref="C93:O95"/>
    <mergeCell ref="J97:K97"/>
    <mergeCell ref="C106:O107"/>
    <mergeCell ref="C183:O185"/>
    <mergeCell ref="M128:O132"/>
    <mergeCell ref="M200:O204"/>
    <mergeCell ref="B5:L7"/>
    <mergeCell ref="C9:L10"/>
    <mergeCell ref="M4:O8"/>
    <mergeCell ref="M35:O39"/>
    <mergeCell ref="J113:K113"/>
    <mergeCell ref="C109:O110"/>
    <mergeCell ref="C122:O123"/>
    <mergeCell ref="J188:K188"/>
    <mergeCell ref="J84:K84"/>
    <mergeCell ref="C197:O198"/>
    <mergeCell ref="C138:O141"/>
    <mergeCell ref="J144:K144"/>
    <mergeCell ref="C168:O172"/>
  </mergeCells>
  <phoneticPr fontId="2" type="noConversion"/>
  <dataValidations count="2">
    <dataValidation type="list" allowBlank="1" showInputMessage="1" showErrorMessage="1" sqref="F204" xr:uid="{00000000-0002-0000-3100-000000000000}">
      <formula1>"TRUE,FALSE"</formula1>
    </dataValidation>
    <dataValidation type="list" allowBlank="1" showInputMessage="1" showErrorMessage="1" sqref="F202" xr:uid="{00000000-0002-0000-3100-000001000000}">
      <formula1>"A,B,C,D,E,F,G,H"</formula1>
    </dataValidation>
  </dataValidations>
  <hyperlinks>
    <hyperlink ref="N210:O210" location="hh_fn_VLOOKUP" display="hh_fn_VLOOKUP" xr:uid="{00000000-0004-0000-3100-000000000000}"/>
    <hyperlink ref="C210:D210" location="hh_index" display="hh_index" xr:uid="{00000000-0004-0000-3100-000001000000}"/>
    <hyperlink ref="G212:K212" r:id="rId1" display="https://www.tykoh.com/" xr:uid="{00000000-0004-0000-3100-000002000000}"/>
  </hyperlinks>
  <pageMargins left="0.75" right="0.75" top="1" bottom="1" header="0.5" footer="0.5"/>
  <pageSetup scale="68" fitToHeight="3" orientation="portrait" r:id="rId2"/>
  <headerFooter alignWithMargins="0"/>
  <rowBreaks count="2" manualBreakCount="2">
    <brk id="68" max="15" man="1"/>
    <brk id="141" max="15" man="1"/>
  </rowBreaks>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9">
    <pageSetUpPr fitToPage="1"/>
  </sheetPr>
  <dimension ref="C1:O69"/>
  <sheetViews>
    <sheetView showGridLines="0" showRowColHeaders="0" topLeftCell="A61" workbookViewId="0">
      <selection activeCell="G68" sqref="G68:K68"/>
    </sheetView>
  </sheetViews>
  <sheetFormatPr defaultColWidth="0" defaultRowHeight="12.5" zeroHeight="1"/>
  <cols>
    <col min="1" max="2" width="1" customWidth="1"/>
    <col min="3" max="15" width="8.7265625" customWidth="1"/>
    <col min="16" max="16" width="1.81640625" customWidth="1"/>
  </cols>
  <sheetData>
    <row r="1" spans="3:15"/>
    <row r="2" spans="3:15">
      <c r="C2" s="105"/>
      <c r="D2" s="105"/>
      <c r="E2" s="105"/>
      <c r="F2" s="105"/>
      <c r="G2" s="105"/>
      <c r="H2" s="105"/>
      <c r="I2" s="105"/>
      <c r="J2" s="105"/>
      <c r="K2" s="105"/>
      <c r="L2" s="105"/>
      <c r="M2" s="105"/>
      <c r="N2" s="105"/>
      <c r="O2" s="105"/>
    </row>
    <row r="3" spans="3:15" ht="18" thickBot="1">
      <c r="C3" s="1737" t="s">
        <v>1646</v>
      </c>
      <c r="D3" s="1737"/>
      <c r="E3" s="1737"/>
      <c r="F3" s="1737"/>
      <c r="G3" s="1737"/>
      <c r="H3" s="1737"/>
      <c r="I3" s="1737"/>
      <c r="J3" s="1737"/>
      <c r="K3" s="1737"/>
      <c r="L3" s="1737"/>
      <c r="M3" s="1737"/>
      <c r="N3" s="1737"/>
      <c r="O3" s="1737"/>
    </row>
    <row r="4" spans="3:15" ht="13.5" customHeight="1" thickTop="1">
      <c r="C4" s="1518" t="s">
        <v>1653</v>
      </c>
      <c r="D4" s="1518"/>
      <c r="E4" s="1518"/>
      <c r="F4" s="1518"/>
      <c r="G4" s="1518"/>
      <c r="H4" s="1518"/>
      <c r="I4" s="1518"/>
      <c r="J4" s="1518"/>
      <c r="K4" s="1518"/>
      <c r="M4" s="1521" t="str">
        <f ca="1">OFFSET(ad_first,OFFSET(ads_top,ROW(ads_Combine_1)-1,1),0)</f>
        <v>Learn how Visual Basic functions can be written and accessed from spreadsheet formulae - attend one of our workshops</v>
      </c>
      <c r="N4" s="1507"/>
      <c r="O4" s="1508"/>
    </row>
    <row r="5" spans="3:15">
      <c r="C5" s="1518"/>
      <c r="D5" s="1518"/>
      <c r="E5" s="1518"/>
      <c r="F5" s="1518"/>
      <c r="G5" s="1518"/>
      <c r="H5" s="1518"/>
      <c r="I5" s="1518"/>
      <c r="J5" s="1518"/>
      <c r="K5" s="1518"/>
      <c r="M5" s="1509"/>
      <c r="N5" s="1510"/>
      <c r="O5" s="1511"/>
    </row>
    <row r="6" spans="3:15">
      <c r="C6" s="1518"/>
      <c r="D6" s="1518"/>
      <c r="E6" s="1518"/>
      <c r="F6" s="1518"/>
      <c r="G6" s="1518"/>
      <c r="H6" s="1518"/>
      <c r="I6" s="1518"/>
      <c r="J6" s="1518"/>
      <c r="K6" s="1518"/>
      <c r="M6" s="1509"/>
      <c r="N6" s="1510"/>
      <c r="O6" s="1511"/>
    </row>
    <row r="7" spans="3:15">
      <c r="C7" s="1518"/>
      <c r="D7" s="1518"/>
      <c r="E7" s="1518"/>
      <c r="F7" s="1518"/>
      <c r="G7" s="1518"/>
      <c r="H7" s="1518"/>
      <c r="I7" s="1518"/>
      <c r="J7" s="1518"/>
      <c r="K7" s="1518"/>
      <c r="M7" s="1509"/>
      <c r="N7" s="1510"/>
      <c r="O7" s="1511"/>
    </row>
    <row r="8" spans="3:15" ht="13" thickBot="1">
      <c r="C8" s="1518"/>
      <c r="D8" s="1518"/>
      <c r="E8" s="1518"/>
      <c r="F8" s="1518"/>
      <c r="G8" s="1518"/>
      <c r="H8" s="1518"/>
      <c r="I8" s="1518"/>
      <c r="J8" s="1518"/>
      <c r="K8" s="1518"/>
      <c r="M8" s="1512"/>
      <c r="N8" s="1513"/>
      <c r="O8" s="1514"/>
    </row>
    <row r="9" spans="3:15" ht="13" thickTop="1">
      <c r="C9" s="1518"/>
      <c r="D9" s="1518"/>
      <c r="E9" s="1518"/>
      <c r="F9" s="1518"/>
      <c r="G9" s="1518"/>
      <c r="H9" s="1518"/>
      <c r="I9" s="1518"/>
      <c r="J9" s="1518"/>
      <c r="K9" s="1518"/>
      <c r="M9" s="1310"/>
      <c r="N9" s="1311"/>
      <c r="O9" s="1311"/>
    </row>
    <row r="10" spans="3:15">
      <c r="M10" s="1163"/>
      <c r="N10" s="1164"/>
      <c r="O10" s="1164"/>
    </row>
    <row r="11" spans="3:15">
      <c r="C11" s="1518" t="s">
        <v>637</v>
      </c>
      <c r="D11" s="1518"/>
      <c r="E11" s="1518"/>
      <c r="F11" s="1518"/>
      <c r="G11" s="1518"/>
      <c r="H11" s="1518"/>
      <c r="I11" s="1518"/>
      <c r="J11" s="1518"/>
      <c r="K11" s="1518"/>
      <c r="L11" s="1518"/>
      <c r="M11" s="1518"/>
      <c r="N11" s="1518"/>
      <c r="O11" s="1518"/>
    </row>
    <row r="12" spans="3:15">
      <c r="C12" s="1518"/>
      <c r="D12" s="1518"/>
      <c r="E12" s="1518"/>
      <c r="F12" s="1518"/>
      <c r="G12" s="1518"/>
      <c r="H12" s="1518"/>
      <c r="I12" s="1518"/>
      <c r="J12" s="1518"/>
      <c r="K12" s="1518"/>
      <c r="L12" s="1518"/>
      <c r="M12" s="1518"/>
      <c r="N12" s="1518"/>
      <c r="O12" s="1518"/>
    </row>
    <row r="13" spans="3:15"/>
    <row r="14" spans="3:15" s="32" customFormat="1" ht="15.5">
      <c r="C14" s="416" t="s">
        <v>500</v>
      </c>
    </row>
    <row r="15" spans="3:15" s="32" customFormat="1">
      <c r="C15" s="1585" t="s">
        <v>1655</v>
      </c>
      <c r="D15" s="1585"/>
      <c r="E15" s="1585"/>
      <c r="F15" s="1585"/>
      <c r="G15" s="1585"/>
      <c r="H15" s="1585"/>
      <c r="I15" s="1585"/>
      <c r="J15" s="1585"/>
      <c r="K15" s="1585"/>
      <c r="L15" s="1585"/>
      <c r="M15" s="1585"/>
      <c r="N15" s="1585"/>
      <c r="O15" s="1585"/>
    </row>
    <row r="16" spans="3:15" s="32" customFormat="1">
      <c r="C16" s="1585"/>
      <c r="D16" s="1585"/>
      <c r="E16" s="1585"/>
      <c r="F16" s="1585"/>
      <c r="G16" s="1585"/>
      <c r="H16" s="1585"/>
      <c r="I16" s="1585"/>
      <c r="J16" s="1585"/>
      <c r="K16" s="1585"/>
      <c r="L16" s="1585"/>
      <c r="M16" s="1585"/>
      <c r="N16" s="1585"/>
      <c r="O16" s="1585"/>
    </row>
    <row r="17" spans="3:15" s="32" customFormat="1"/>
    <row r="18" spans="3:15" s="32" customFormat="1">
      <c r="C18" s="857"/>
      <c r="D18" s="857" t="s">
        <v>1363</v>
      </c>
      <c r="E18" s="857" t="s">
        <v>1364</v>
      </c>
      <c r="F18" s="857" t="s">
        <v>1473</v>
      </c>
      <c r="G18" s="857" t="s">
        <v>1474</v>
      </c>
      <c r="H18" s="857" t="s">
        <v>1475</v>
      </c>
      <c r="I18" s="857" t="s">
        <v>1476</v>
      </c>
      <c r="J18" s="857" t="s">
        <v>497</v>
      </c>
      <c r="K18" s="857" t="s">
        <v>1511</v>
      </c>
    </row>
    <row r="19" spans="3:15" s="32" customFormat="1" ht="13">
      <c r="C19" s="857">
        <v>1</v>
      </c>
      <c r="D19" s="946" t="s">
        <v>1605</v>
      </c>
      <c r="E19" s="791"/>
      <c r="F19" s="791"/>
      <c r="G19" s="791"/>
      <c r="H19" s="791"/>
      <c r="I19" s="791"/>
      <c r="J19" s="791"/>
      <c r="K19" s="791"/>
    </row>
    <row r="20" spans="3:15" s="32" customFormat="1">
      <c r="C20" s="857">
        <v>2</v>
      </c>
      <c r="D20" s="791">
        <v>67</v>
      </c>
      <c r="E20" s="791">
        <v>2</v>
      </c>
      <c r="F20" s="791">
        <v>11</v>
      </c>
      <c r="G20" s="791">
        <v>53</v>
      </c>
      <c r="H20" s="791">
        <v>47</v>
      </c>
      <c r="I20" s="791">
        <v>3</v>
      </c>
      <c r="J20" s="791">
        <v>51</v>
      </c>
      <c r="K20" s="791">
        <v>44</v>
      </c>
    </row>
    <row r="21" spans="3:15" s="32" customFormat="1">
      <c r="C21" s="857">
        <v>3</v>
      </c>
      <c r="D21" s="791">
        <v>26</v>
      </c>
      <c r="E21" s="791">
        <v>82</v>
      </c>
      <c r="F21" s="791">
        <v>68</v>
      </c>
      <c r="G21" s="791">
        <v>90</v>
      </c>
      <c r="H21" s="791">
        <v>12</v>
      </c>
      <c r="I21" s="791">
        <v>74</v>
      </c>
      <c r="J21" s="791">
        <v>34</v>
      </c>
      <c r="K21" s="791">
        <v>19</v>
      </c>
    </row>
    <row r="22" spans="3:15" s="32" customFormat="1">
      <c r="C22" s="857">
        <v>4</v>
      </c>
      <c r="D22" s="791">
        <v>16</v>
      </c>
      <c r="E22" s="791">
        <v>56</v>
      </c>
      <c r="F22" s="791">
        <v>56</v>
      </c>
      <c r="G22" s="791">
        <v>21</v>
      </c>
      <c r="H22" s="791">
        <v>7</v>
      </c>
      <c r="I22" s="791">
        <v>41</v>
      </c>
      <c r="J22" s="791">
        <v>39</v>
      </c>
      <c r="K22" s="791">
        <v>77</v>
      </c>
    </row>
    <row r="23" spans="3:15" s="32" customFormat="1">
      <c r="C23" s="857">
        <v>5</v>
      </c>
      <c r="D23" s="791">
        <v>70</v>
      </c>
      <c r="E23" s="791">
        <v>45</v>
      </c>
      <c r="F23" s="791">
        <v>24</v>
      </c>
      <c r="G23" s="791">
        <v>12</v>
      </c>
      <c r="H23" s="791">
        <v>76</v>
      </c>
      <c r="I23" s="791">
        <v>64</v>
      </c>
      <c r="J23" s="791">
        <v>28</v>
      </c>
      <c r="K23" s="791">
        <v>38</v>
      </c>
    </row>
    <row r="24" spans="3:15" s="32" customFormat="1">
      <c r="C24" s="857">
        <v>6</v>
      </c>
      <c r="D24" s="791">
        <v>69</v>
      </c>
      <c r="E24" s="791">
        <v>10</v>
      </c>
      <c r="F24" s="791">
        <v>94</v>
      </c>
      <c r="G24" s="791">
        <v>60</v>
      </c>
      <c r="H24" s="791">
        <v>2</v>
      </c>
      <c r="I24" s="791">
        <v>93</v>
      </c>
      <c r="J24" s="791">
        <v>13</v>
      </c>
      <c r="K24" s="791">
        <v>36</v>
      </c>
    </row>
    <row r="25" spans="3:15" s="32" customFormat="1">
      <c r="C25" s="857">
        <v>7</v>
      </c>
      <c r="D25" s="791">
        <v>19</v>
      </c>
      <c r="E25" s="791">
        <v>69</v>
      </c>
      <c r="F25" s="791">
        <v>16</v>
      </c>
      <c r="G25" s="791">
        <v>79</v>
      </c>
      <c r="H25" s="791">
        <v>65</v>
      </c>
      <c r="I25" s="791">
        <v>94</v>
      </c>
      <c r="J25" s="791">
        <v>6</v>
      </c>
      <c r="K25" s="791">
        <v>94</v>
      </c>
    </row>
    <row r="26" spans="3:15" s="32" customFormat="1">
      <c r="C26" s="857">
        <v>8</v>
      </c>
      <c r="D26" s="791"/>
      <c r="E26" s="791"/>
      <c r="F26" s="791"/>
      <c r="G26" s="791"/>
      <c r="H26" s="791"/>
      <c r="I26" s="791"/>
      <c r="J26" s="791"/>
      <c r="K26" s="791"/>
    </row>
    <row r="27" spans="3:15" s="32" customFormat="1"/>
    <row r="28" spans="3:15" s="32" customFormat="1">
      <c r="C28" s="32" t="s">
        <v>1654</v>
      </c>
    </row>
    <row r="29" spans="3:15" s="32" customFormat="1" ht="13" thickBot="1"/>
    <row r="30" spans="3:15" s="32" customFormat="1" ht="13" thickTop="1">
      <c r="C30" s="857"/>
      <c r="D30" s="857" t="s">
        <v>1363</v>
      </c>
      <c r="E30" s="857" t="s">
        <v>1364</v>
      </c>
      <c r="F30" s="857" t="s">
        <v>1473</v>
      </c>
      <c r="G30" s="857" t="s">
        <v>1474</v>
      </c>
      <c r="H30" s="857" t="s">
        <v>1475</v>
      </c>
      <c r="I30" s="857" t="s">
        <v>1476</v>
      </c>
      <c r="J30" s="857" t="s">
        <v>497</v>
      </c>
      <c r="K30" s="857" t="s">
        <v>1511</v>
      </c>
      <c r="M30" s="1521" t="str">
        <f ca="1">OFFSET(ad_first,OFFSET(ads_top,ROW(ads_Combine_1)-1,2),0)</f>
        <v>Attend one of our workshops and learn how to use a wide range of spreadsheet functions in practical finance settings</v>
      </c>
      <c r="N30" s="1507"/>
      <c r="O30" s="1508"/>
    </row>
    <row r="31" spans="3:15" s="32" customFormat="1" ht="13.5" thickBot="1">
      <c r="C31" s="857">
        <v>1</v>
      </c>
      <c r="D31" s="1190" t="s">
        <v>1605</v>
      </c>
      <c r="E31" s="958"/>
      <c r="F31" s="958"/>
      <c r="G31" s="958"/>
      <c r="H31" s="958"/>
      <c r="I31" s="958"/>
      <c r="J31" s="958"/>
      <c r="K31" s="958"/>
      <c r="M31" s="1509"/>
      <c r="N31" s="1510"/>
      <c r="O31" s="1511"/>
    </row>
    <row r="32" spans="3:15" s="32" customFormat="1">
      <c r="C32" s="949">
        <v>2</v>
      </c>
      <c r="D32" s="1182">
        <v>67</v>
      </c>
      <c r="E32" s="1183">
        <v>2</v>
      </c>
      <c r="F32" s="1183">
        <v>11</v>
      </c>
      <c r="G32" s="1183">
        <v>53</v>
      </c>
      <c r="H32" s="1183">
        <v>47</v>
      </c>
      <c r="I32" s="1183">
        <v>3</v>
      </c>
      <c r="J32" s="1183">
        <v>51</v>
      </c>
      <c r="K32" s="1185">
        <v>44</v>
      </c>
      <c r="M32" s="1509"/>
      <c r="N32" s="1510"/>
      <c r="O32" s="1511"/>
    </row>
    <row r="33" spans="3:15" s="32" customFormat="1">
      <c r="C33" s="949">
        <v>3</v>
      </c>
      <c r="D33" s="1181">
        <v>26</v>
      </c>
      <c r="E33" s="791">
        <v>82</v>
      </c>
      <c r="F33" s="791">
        <v>68</v>
      </c>
      <c r="G33" s="791">
        <v>90</v>
      </c>
      <c r="H33" s="791">
        <v>12</v>
      </c>
      <c r="I33" s="791">
        <v>74</v>
      </c>
      <c r="J33" s="791">
        <v>34</v>
      </c>
      <c r="K33" s="1191">
        <v>19</v>
      </c>
      <c r="M33" s="1509"/>
      <c r="N33" s="1510"/>
      <c r="O33" s="1511"/>
    </row>
    <row r="34" spans="3:15" s="32" customFormat="1" ht="13" thickBot="1">
      <c r="C34" s="949">
        <v>4</v>
      </c>
      <c r="D34" s="1181">
        <v>16</v>
      </c>
      <c r="E34" s="791">
        <v>56</v>
      </c>
      <c r="F34" s="791">
        <v>56</v>
      </c>
      <c r="G34" s="791">
        <v>21</v>
      </c>
      <c r="H34" s="791">
        <v>7</v>
      </c>
      <c r="I34" s="791">
        <v>41</v>
      </c>
      <c r="J34" s="791">
        <v>39</v>
      </c>
      <c r="K34" s="1191">
        <v>77</v>
      </c>
      <c r="M34" s="1512"/>
      <c r="N34" s="1513"/>
      <c r="O34" s="1514"/>
    </row>
    <row r="35" spans="3:15" s="32" customFormat="1" ht="13" thickTop="1">
      <c r="C35" s="949">
        <v>5</v>
      </c>
      <c r="D35" s="1181">
        <v>70</v>
      </c>
      <c r="E35" s="791">
        <v>45</v>
      </c>
      <c r="F35" s="791">
        <v>24</v>
      </c>
      <c r="G35" s="791">
        <v>12</v>
      </c>
      <c r="H35" s="791">
        <v>76</v>
      </c>
      <c r="I35" s="791">
        <v>64</v>
      </c>
      <c r="J35" s="791">
        <v>28</v>
      </c>
      <c r="K35" s="1191">
        <v>38</v>
      </c>
      <c r="M35" s="1310"/>
      <c r="N35" s="1311"/>
      <c r="O35" s="1311"/>
    </row>
    <row r="36" spans="3:15" s="32" customFormat="1">
      <c r="C36" s="949">
        <v>6</v>
      </c>
      <c r="D36" s="1181">
        <v>69</v>
      </c>
      <c r="E36" s="791">
        <v>10</v>
      </c>
      <c r="F36" s="791">
        <v>94</v>
      </c>
      <c r="G36" s="791">
        <v>60</v>
      </c>
      <c r="H36" s="791">
        <v>2</v>
      </c>
      <c r="I36" s="791">
        <v>93</v>
      </c>
      <c r="J36" s="791">
        <v>13</v>
      </c>
      <c r="K36" s="1191">
        <v>36</v>
      </c>
    </row>
    <row r="37" spans="3:15" s="32" customFormat="1" ht="13" thickBot="1">
      <c r="C37" s="949">
        <v>7</v>
      </c>
      <c r="D37" s="1184">
        <v>19</v>
      </c>
      <c r="E37" s="1072">
        <v>69</v>
      </c>
      <c r="F37" s="1072">
        <v>16</v>
      </c>
      <c r="G37" s="1072">
        <v>79</v>
      </c>
      <c r="H37" s="1072">
        <v>65</v>
      </c>
      <c r="I37" s="1072">
        <v>94</v>
      </c>
      <c r="J37" s="1072">
        <v>6</v>
      </c>
      <c r="K37" s="1186">
        <v>94</v>
      </c>
    </row>
    <row r="38" spans="3:15" s="32" customFormat="1">
      <c r="C38" s="857">
        <v>8</v>
      </c>
      <c r="D38" s="963"/>
      <c r="E38" s="963"/>
      <c r="F38" s="963"/>
      <c r="G38" s="963"/>
      <c r="H38" s="963"/>
      <c r="I38" s="963"/>
      <c r="J38" s="963"/>
      <c r="K38" s="963"/>
    </row>
    <row r="39" spans="3:15" s="32" customFormat="1">
      <c r="C39" s="857">
        <v>9</v>
      </c>
      <c r="D39" s="791" t="s">
        <v>1606</v>
      </c>
      <c r="E39" s="791"/>
      <c r="F39" s="791">
        <f>LARGE(D32:K37,COUNT(D32:K37)*0.25)</f>
        <v>69</v>
      </c>
      <c r="G39" s="900" t="s">
        <v>1608</v>
      </c>
      <c r="H39" s="791"/>
      <c r="I39" s="791"/>
      <c r="J39" s="791"/>
      <c r="K39" s="791"/>
    </row>
    <row r="40" spans="3:15" s="32" customFormat="1">
      <c r="C40" s="857">
        <v>10</v>
      </c>
      <c r="D40" s="791" t="s">
        <v>1607</v>
      </c>
      <c r="E40" s="791"/>
      <c r="F40" s="791">
        <f>LARGE(D32:K37,COUNT(D32:K37)*0.75)</f>
        <v>19</v>
      </c>
      <c r="G40" s="900" t="s">
        <v>1609</v>
      </c>
      <c r="H40" s="791"/>
      <c r="I40" s="791"/>
      <c r="J40" s="791"/>
      <c r="K40" s="791"/>
    </row>
    <row r="41" spans="3:15" s="32" customFormat="1"/>
    <row r="42" spans="3:15" s="32" customFormat="1">
      <c r="C42" s="1585" t="s">
        <v>1656</v>
      </c>
      <c r="D42" s="1585"/>
      <c r="E42" s="1585"/>
      <c r="F42" s="1585"/>
      <c r="G42" s="1585"/>
      <c r="H42" s="1585"/>
      <c r="I42" s="1585"/>
      <c r="J42" s="1585"/>
      <c r="K42" s="1585"/>
      <c r="L42" s="1585"/>
      <c r="M42" s="1585"/>
      <c r="N42" s="1585"/>
      <c r="O42" s="1585"/>
    </row>
    <row r="43" spans="3:15" s="32" customFormat="1">
      <c r="C43" s="1585"/>
      <c r="D43" s="1585"/>
      <c r="E43" s="1585"/>
      <c r="F43" s="1585"/>
      <c r="G43" s="1585"/>
      <c r="H43" s="1585"/>
      <c r="I43" s="1585"/>
      <c r="J43" s="1585"/>
      <c r="K43" s="1585"/>
      <c r="L43" s="1585"/>
      <c r="M43" s="1585"/>
      <c r="N43" s="1585"/>
      <c r="O43" s="1585"/>
    </row>
    <row r="44" spans="3:15" s="32" customFormat="1">
      <c r="C44" s="1585"/>
      <c r="D44" s="1585"/>
      <c r="E44" s="1585"/>
      <c r="F44" s="1585"/>
      <c r="G44" s="1585"/>
      <c r="H44" s="1585"/>
      <c r="I44" s="1585"/>
      <c r="J44" s="1585"/>
      <c r="K44" s="1585"/>
      <c r="L44" s="1585"/>
      <c r="M44" s="1585"/>
      <c r="N44" s="1585"/>
      <c r="O44" s="1585"/>
    </row>
    <row r="45" spans="3:15" s="32" customFormat="1">
      <c r="C45" s="1585"/>
      <c r="D45" s="1585"/>
      <c r="E45" s="1585"/>
      <c r="F45" s="1585"/>
      <c r="G45" s="1585"/>
      <c r="H45" s="1585"/>
      <c r="I45" s="1585"/>
      <c r="J45" s="1585"/>
      <c r="K45" s="1585"/>
      <c r="L45" s="1585"/>
      <c r="M45" s="1585"/>
      <c r="N45" s="1585"/>
      <c r="O45" s="1585"/>
    </row>
    <row r="46" spans="3:15" s="32" customFormat="1"/>
    <row r="47" spans="3:15" s="32" customFormat="1">
      <c r="C47" s="1585" t="s">
        <v>1657</v>
      </c>
      <c r="D47" s="1585"/>
      <c r="E47" s="1585"/>
      <c r="F47" s="1585"/>
      <c r="G47" s="1585"/>
      <c r="H47" s="1585"/>
      <c r="I47" s="1585"/>
      <c r="J47" s="1585"/>
      <c r="K47" s="1585"/>
      <c r="L47" s="1585"/>
      <c r="M47" s="1585"/>
      <c r="N47" s="1585"/>
      <c r="O47" s="1585"/>
    </row>
    <row r="48" spans="3:15" s="32" customFormat="1">
      <c r="C48" s="1585"/>
      <c r="D48" s="1585"/>
      <c r="E48" s="1585"/>
      <c r="F48" s="1585"/>
      <c r="G48" s="1585"/>
      <c r="H48" s="1585"/>
      <c r="I48" s="1585"/>
      <c r="J48" s="1585"/>
      <c r="K48" s="1585"/>
      <c r="L48" s="1585"/>
      <c r="M48" s="1585"/>
      <c r="N48" s="1585"/>
      <c r="O48" s="1585"/>
    </row>
    <row r="49" spans="3:15" s="32" customFormat="1">
      <c r="C49" s="1585"/>
      <c r="D49" s="1585"/>
      <c r="E49" s="1585"/>
      <c r="F49" s="1585"/>
      <c r="G49" s="1585"/>
      <c r="H49" s="1585"/>
      <c r="I49" s="1585"/>
      <c r="J49" s="1585"/>
      <c r="K49" s="1585"/>
      <c r="L49" s="1585"/>
      <c r="M49" s="1585"/>
      <c r="N49" s="1585"/>
      <c r="O49" s="1585"/>
    </row>
    <row r="50" spans="3:15" s="32" customFormat="1"/>
    <row r="51" spans="3:15" s="32" customFormat="1">
      <c r="C51" s="1585" t="s">
        <v>456</v>
      </c>
      <c r="D51" s="1585"/>
      <c r="E51" s="1585"/>
      <c r="F51" s="1585"/>
      <c r="G51" s="1585"/>
      <c r="H51" s="1585"/>
      <c r="I51" s="1585"/>
      <c r="J51" s="1585"/>
      <c r="K51" s="1585"/>
      <c r="L51" s="1585"/>
      <c r="M51" s="1585"/>
      <c r="N51" s="1585"/>
      <c r="O51" s="1585"/>
    </row>
    <row r="52" spans="3:15" s="32" customFormat="1">
      <c r="C52" s="1585"/>
      <c r="D52" s="1585"/>
      <c r="E52" s="1585"/>
      <c r="F52" s="1585"/>
      <c r="G52" s="1585"/>
      <c r="H52" s="1585"/>
      <c r="I52" s="1585"/>
      <c r="J52" s="1585"/>
      <c r="K52" s="1585"/>
      <c r="L52" s="1585"/>
      <c r="M52" s="1585"/>
      <c r="N52" s="1585"/>
      <c r="O52" s="1585"/>
    </row>
    <row r="53" spans="3:15" s="32" customFormat="1"/>
    <row r="54" spans="3:15" s="32" customFormat="1">
      <c r="C54" s="857"/>
      <c r="D54" s="857" t="s">
        <v>1363</v>
      </c>
      <c r="E54" s="857" t="s">
        <v>1364</v>
      </c>
      <c r="F54" s="857" t="s">
        <v>1473</v>
      </c>
      <c r="G54" s="857" t="s">
        <v>1474</v>
      </c>
      <c r="H54" s="857" t="s">
        <v>1475</v>
      </c>
      <c r="I54" s="857" t="s">
        <v>1476</v>
      </c>
      <c r="J54" s="857" t="s">
        <v>497</v>
      </c>
      <c r="K54" s="857" t="s">
        <v>1511</v>
      </c>
      <c r="L54" s="857" t="s">
        <v>1512</v>
      </c>
    </row>
    <row r="55" spans="3:15" s="32" customFormat="1" ht="13.5" thickBot="1">
      <c r="C55" s="857">
        <v>1</v>
      </c>
      <c r="D55" s="1190" t="s">
        <v>1605</v>
      </c>
      <c r="E55" s="958"/>
      <c r="F55" s="958"/>
      <c r="G55" s="958"/>
      <c r="H55" s="958"/>
      <c r="I55" s="958"/>
      <c r="J55" s="958"/>
      <c r="K55" s="958"/>
      <c r="L55" s="791"/>
    </row>
    <row r="56" spans="3:15" s="32" customFormat="1">
      <c r="C56" s="949">
        <v>2</v>
      </c>
      <c r="D56" s="1182">
        <v>67</v>
      </c>
      <c r="E56" s="1183">
        <v>2</v>
      </c>
      <c r="F56" s="1183">
        <v>11</v>
      </c>
      <c r="G56" s="1183">
        <v>53</v>
      </c>
      <c r="H56" s="1183">
        <v>47</v>
      </c>
      <c r="I56" s="1183">
        <v>3</v>
      </c>
      <c r="J56" s="1183">
        <v>51</v>
      </c>
      <c r="K56" s="1185">
        <v>44</v>
      </c>
      <c r="L56" s="809"/>
    </row>
    <row r="57" spans="3:15" s="32" customFormat="1">
      <c r="C57" s="949">
        <v>3</v>
      </c>
      <c r="D57" s="1181">
        <v>26</v>
      </c>
      <c r="E57" s="791">
        <v>82</v>
      </c>
      <c r="F57" s="791">
        <v>68</v>
      </c>
      <c r="G57" s="791">
        <v>90</v>
      </c>
      <c r="H57" s="791">
        <v>12</v>
      </c>
      <c r="I57" s="791">
        <v>74</v>
      </c>
      <c r="J57" s="791">
        <v>34</v>
      </c>
      <c r="K57" s="1191">
        <v>19</v>
      </c>
      <c r="L57" s="809"/>
    </row>
    <row r="58" spans="3:15" s="32" customFormat="1">
      <c r="C58" s="949">
        <v>4</v>
      </c>
      <c r="D58" s="1181">
        <v>16</v>
      </c>
      <c r="E58" s="791">
        <v>56</v>
      </c>
      <c r="F58" s="791">
        <v>56</v>
      </c>
      <c r="G58" s="791">
        <v>21</v>
      </c>
      <c r="H58" s="791">
        <v>7</v>
      </c>
      <c r="I58" s="791">
        <v>41</v>
      </c>
      <c r="J58" s="791">
        <v>39</v>
      </c>
      <c r="K58" s="1191">
        <v>77</v>
      </c>
      <c r="L58" s="809"/>
    </row>
    <row r="59" spans="3:15" s="32" customFormat="1">
      <c r="C59" s="949">
        <v>5</v>
      </c>
      <c r="D59" s="1181">
        <v>70</v>
      </c>
      <c r="E59" s="791">
        <v>45</v>
      </c>
      <c r="F59" s="791">
        <v>24</v>
      </c>
      <c r="G59" s="791">
        <v>12</v>
      </c>
      <c r="H59" s="791">
        <v>76</v>
      </c>
      <c r="I59" s="791">
        <v>64</v>
      </c>
      <c r="J59" s="791">
        <v>28</v>
      </c>
      <c r="K59" s="1191">
        <v>38</v>
      </c>
      <c r="L59" s="809"/>
    </row>
    <row r="60" spans="3:15" s="32" customFormat="1">
      <c r="C60" s="949">
        <v>6</v>
      </c>
      <c r="D60" s="1181">
        <v>69</v>
      </c>
      <c r="E60" s="791">
        <v>10</v>
      </c>
      <c r="F60" s="791">
        <v>94</v>
      </c>
      <c r="G60" s="791">
        <v>60</v>
      </c>
      <c r="H60" s="791">
        <v>2</v>
      </c>
      <c r="I60" s="791">
        <v>93</v>
      </c>
      <c r="J60" s="791">
        <v>13</v>
      </c>
      <c r="K60" s="1191">
        <v>36</v>
      </c>
      <c r="L60" s="809"/>
    </row>
    <row r="61" spans="3:15" s="32" customFormat="1" ht="13" thickBot="1">
      <c r="C61" s="949">
        <v>7</v>
      </c>
      <c r="D61" s="1184">
        <v>19</v>
      </c>
      <c r="E61" s="1072">
        <v>69</v>
      </c>
      <c r="F61" s="1072">
        <v>16</v>
      </c>
      <c r="G61" s="1072">
        <v>79</v>
      </c>
      <c r="H61" s="1072">
        <v>65</v>
      </c>
      <c r="I61" s="1072">
        <v>94</v>
      </c>
      <c r="J61" s="1072">
        <v>6</v>
      </c>
      <c r="K61" s="1186">
        <v>94</v>
      </c>
      <c r="L61" s="809"/>
    </row>
    <row r="62" spans="3:15" s="32" customFormat="1" ht="13" thickBot="1">
      <c r="C62" s="857">
        <v>8</v>
      </c>
      <c r="D62" s="963"/>
      <c r="E62" s="957"/>
      <c r="F62" s="963"/>
      <c r="G62" s="963"/>
      <c r="H62" s="963"/>
      <c r="I62" s="963"/>
      <c r="J62" s="963"/>
      <c r="K62" s="963"/>
      <c r="L62" s="791"/>
    </row>
    <row r="63" spans="3:15" s="32" customFormat="1" ht="13" thickBot="1">
      <c r="C63" s="857">
        <v>9</v>
      </c>
      <c r="D63" s="1018" t="s">
        <v>457</v>
      </c>
      <c r="E63" s="1009">
        <v>1</v>
      </c>
      <c r="F63" s="809"/>
      <c r="G63" s="791" t="s">
        <v>458</v>
      </c>
      <c r="H63" s="796">
        <f>LARGE(D56:K61,COUNT(D56:K61)*E63/4)</f>
        <v>69</v>
      </c>
      <c r="I63" s="900" t="s">
        <v>645</v>
      </c>
      <c r="J63" s="791"/>
      <c r="K63" s="791"/>
      <c r="L63" s="791"/>
    </row>
    <row r="64" spans="3:15" s="32" customFormat="1">
      <c r="C64" s="857">
        <v>10</v>
      </c>
      <c r="D64" s="791"/>
      <c r="E64" s="963"/>
      <c r="F64" s="791"/>
      <c r="G64" s="791"/>
      <c r="H64" s="947">
        <f>IF(E63=1,MAX(D56:K61),LARGE(D56:K61,COUNT(D56:K61)*(E63-1)/4))</f>
        <v>94</v>
      </c>
      <c r="I64" s="791"/>
      <c r="J64" s="791"/>
      <c r="K64" s="791"/>
      <c r="L64" s="791"/>
    </row>
    <row r="65" spans="3:15"/>
    <row r="66" spans="3:15">
      <c r="C66" s="1697" t="str">
        <f>back_to_index</f>
        <v>Back to contents</v>
      </c>
      <c r="D66" s="1697"/>
      <c r="G66" s="1674" t="str">
        <f>page_prefix &amp; page_Combine_1&amp; page_suffix</f>
        <v>- Page 38 -</v>
      </c>
      <c r="H66" s="1674"/>
      <c r="I66" s="1674"/>
      <c r="J66" s="1703"/>
      <c r="K66" s="1703"/>
      <c r="N66" s="1673" t="str">
        <f>back_to_top</f>
        <v>Back to top</v>
      </c>
      <c r="O66" s="1673"/>
    </row>
    <row r="67" spans="3:15">
      <c r="G67" s="1674" t="str">
        <f>copyright</f>
        <v>Copyright (c) 2009 Tykoh Group Pty Limited</v>
      </c>
      <c r="H67" s="1674"/>
      <c r="I67" s="1674"/>
      <c r="J67" s="1703"/>
      <c r="K67" s="1703"/>
    </row>
    <row r="68" spans="3:15">
      <c r="G68" s="1452" t="str">
        <f>home_address</f>
        <v>www.tykoh.com</v>
      </c>
      <c r="H68" s="1452"/>
      <c r="I68" s="1452"/>
      <c r="J68" s="1452"/>
      <c r="K68" s="1452"/>
    </row>
    <row r="69" spans="3:15"/>
  </sheetData>
  <sheetProtection algorithmName="SHA-512" hashValue="CDt1XRXqk13QXkP3485lkyr/fo2mNb/MWA7KW5KLMV01XYgqQcHoKERsiGRhEq1b9ATuq17Hfup4NUf2tjCmog==" saltValue="cZO+Zn/pGiRFb1uBai1RcQ==" spinCount="100000" sheet="1" objects="1" scenarios="1"/>
  <mergeCells count="14">
    <mergeCell ref="G68:K68"/>
    <mergeCell ref="C3:O3"/>
    <mergeCell ref="C15:O16"/>
    <mergeCell ref="M30:O34"/>
    <mergeCell ref="C51:O52"/>
    <mergeCell ref="C4:K9"/>
    <mergeCell ref="M4:O8"/>
    <mergeCell ref="C66:D66"/>
    <mergeCell ref="G66:K66"/>
    <mergeCell ref="C11:O12"/>
    <mergeCell ref="C42:O45"/>
    <mergeCell ref="C47:O49"/>
    <mergeCell ref="N66:O66"/>
    <mergeCell ref="G67:K67"/>
  </mergeCells>
  <phoneticPr fontId="2" type="noConversion"/>
  <conditionalFormatting sqref="D56:K61">
    <cfRule type="cellIs" dxfId="29" priority="1" stopIfTrue="1" operator="between">
      <formula>$H$63</formula>
      <formula>$H$64</formula>
    </cfRule>
  </conditionalFormatting>
  <dataValidations count="1">
    <dataValidation type="list" allowBlank="1" showInputMessage="1" showErrorMessage="1" sqref="E63" xr:uid="{00000000-0002-0000-3200-000000000000}">
      <formula1>"1,2,3,4"</formula1>
    </dataValidation>
  </dataValidations>
  <hyperlinks>
    <hyperlink ref="N66:O66" location="hh_Combine_1" display="hh_Combine_1" xr:uid="{00000000-0004-0000-3200-000000000000}"/>
    <hyperlink ref="C66:D66" location="hh_index" display="hh_index" xr:uid="{00000000-0004-0000-3200-000001000000}"/>
    <hyperlink ref="G68:K68" r:id="rId1" display="https://www.tykoh.com/" xr:uid="{00000000-0004-0000-3200-000002000000}"/>
  </hyperlinks>
  <pageMargins left="0.75" right="0.75" top="1" bottom="1" header="0.5" footer="0.5"/>
  <pageSetup paperSize="9" scale="71" orientation="portrait" r:id="rId2"/>
  <headerFooter alignWithMargins="0"/>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70">
    <pageSetUpPr fitToPage="1"/>
  </sheetPr>
  <dimension ref="C1:P54"/>
  <sheetViews>
    <sheetView showGridLines="0" showRowColHeaders="0" topLeftCell="A49" workbookViewId="0">
      <selection activeCell="G53" sqref="G53:K53"/>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6"/>
    <row r="2" spans="3:16">
      <c r="C2" s="103"/>
      <c r="D2" s="103"/>
      <c r="E2" s="103"/>
      <c r="F2" s="103"/>
      <c r="G2" s="103"/>
      <c r="H2" s="103"/>
      <c r="I2" s="103"/>
      <c r="J2" s="103"/>
      <c r="K2" s="103"/>
      <c r="L2" s="103"/>
      <c r="M2" s="103"/>
      <c r="N2" s="103"/>
      <c r="O2" s="103"/>
    </row>
    <row r="3" spans="3:16" ht="16" thickBot="1">
      <c r="C3" s="416" t="s">
        <v>211</v>
      </c>
    </row>
    <row r="4" spans="3:16" ht="13" thickTop="1">
      <c r="M4" s="1521" t="str">
        <f ca="1">OFFSET(ad_first,OFFSET(ads_top,ROW(ads_Combine_2)-1,1),0)</f>
        <v>Our workshops cover techniques to perform complex calculations in a single cell that would otherwise take many cells to do.</v>
      </c>
      <c r="N4" s="1507"/>
      <c r="O4" s="1508"/>
      <c r="P4" s="33"/>
    </row>
    <row r="5" spans="3:16" ht="13.5" customHeight="1">
      <c r="C5" s="1585" t="s">
        <v>638</v>
      </c>
      <c r="D5" s="1585"/>
      <c r="E5" s="1585"/>
      <c r="F5" s="1585"/>
      <c r="G5" s="1585"/>
      <c r="H5" s="1585"/>
      <c r="I5" s="1585"/>
      <c r="J5" s="1585"/>
      <c r="K5" s="1585"/>
      <c r="L5" s="1568"/>
      <c r="M5" s="1509"/>
      <c r="N5" s="1510"/>
      <c r="O5" s="1511"/>
      <c r="P5" s="33"/>
    </row>
    <row r="6" spans="3:16">
      <c r="C6" s="1585"/>
      <c r="D6" s="1585"/>
      <c r="E6" s="1585"/>
      <c r="F6" s="1585"/>
      <c r="G6" s="1585"/>
      <c r="H6" s="1585"/>
      <c r="I6" s="1585"/>
      <c r="J6" s="1585"/>
      <c r="K6" s="1585"/>
      <c r="L6" s="1568"/>
      <c r="M6" s="1509"/>
      <c r="N6" s="1510"/>
      <c r="O6" s="1511"/>
      <c r="P6" s="33"/>
    </row>
    <row r="7" spans="3:16">
      <c r="M7" s="1509"/>
      <c r="N7" s="1510"/>
      <c r="O7" s="1511"/>
      <c r="P7" s="33"/>
    </row>
    <row r="8" spans="3:16" ht="13" thickBot="1">
      <c r="C8" s="1585" t="s">
        <v>100</v>
      </c>
      <c r="D8" s="1585"/>
      <c r="E8" s="1585"/>
      <c r="F8" s="1585"/>
      <c r="G8" s="1585"/>
      <c r="H8" s="1585"/>
      <c r="I8" s="1585"/>
      <c r="J8" s="1585"/>
      <c r="K8" s="1585"/>
      <c r="L8" s="1585"/>
      <c r="M8" s="1512"/>
      <c r="N8" s="1513"/>
      <c r="O8" s="1514"/>
      <c r="P8" s="33"/>
    </row>
    <row r="9" spans="3:16" ht="13" thickTop="1">
      <c r="C9" s="1585"/>
      <c r="D9" s="1585"/>
      <c r="E9" s="1585"/>
      <c r="F9" s="1585"/>
      <c r="G9" s="1585"/>
      <c r="H9" s="1585"/>
      <c r="I9" s="1585"/>
      <c r="J9" s="1585"/>
      <c r="K9" s="1585"/>
      <c r="L9" s="1585"/>
      <c r="M9" s="1310"/>
      <c r="N9" s="1311"/>
      <c r="O9" s="1311"/>
      <c r="P9" s="33"/>
    </row>
    <row r="10" spans="3:16">
      <c r="C10" s="1585"/>
      <c r="D10" s="1585"/>
      <c r="E10" s="1585"/>
      <c r="F10" s="1585"/>
      <c r="G10" s="1585"/>
      <c r="H10" s="1585"/>
      <c r="I10" s="1585"/>
      <c r="J10" s="1585"/>
      <c r="K10" s="1585"/>
      <c r="L10" s="1585"/>
      <c r="M10" s="100"/>
      <c r="N10" s="100"/>
      <c r="O10" s="100"/>
      <c r="P10" s="33"/>
    </row>
    <row r="11" spans="3:16" ht="13" thickBot="1">
      <c r="C11" s="857"/>
      <c r="D11" s="857" t="s">
        <v>1363</v>
      </c>
      <c r="E11" s="857" t="s">
        <v>1364</v>
      </c>
      <c r="F11" s="857" t="s">
        <v>1473</v>
      </c>
      <c r="G11" s="857" t="s">
        <v>1474</v>
      </c>
      <c r="H11" s="948" t="s">
        <v>1475</v>
      </c>
      <c r="I11" s="857" t="s">
        <v>1476</v>
      </c>
      <c r="J11" s="857" t="s">
        <v>497</v>
      </c>
      <c r="K11" s="857" t="s">
        <v>1511</v>
      </c>
      <c r="L11" s="857" t="s">
        <v>1512</v>
      </c>
      <c r="M11" s="100"/>
      <c r="N11" s="100"/>
      <c r="O11" s="100"/>
      <c r="P11" s="33"/>
    </row>
    <row r="12" spans="3:16" ht="13" thickBot="1">
      <c r="C12" s="857">
        <v>1</v>
      </c>
      <c r="D12" s="808" t="s">
        <v>89</v>
      </c>
      <c r="E12" s="808"/>
      <c r="F12" s="808"/>
      <c r="G12" s="1018"/>
      <c r="H12" s="1287" t="s">
        <v>1476</v>
      </c>
      <c r="I12" s="809"/>
      <c r="J12" s="791"/>
      <c r="K12" s="791"/>
      <c r="L12" s="791"/>
      <c r="M12" s="100"/>
      <c r="N12" s="100"/>
      <c r="O12" s="100"/>
      <c r="P12" s="33"/>
    </row>
    <row r="13" spans="3:16">
      <c r="C13" s="857">
        <f>C12+1</f>
        <v>2</v>
      </c>
      <c r="D13" s="791"/>
      <c r="E13" s="791"/>
      <c r="F13" s="791"/>
      <c r="G13" s="791"/>
      <c r="H13" s="963"/>
      <c r="I13" s="791"/>
      <c r="J13" s="791"/>
      <c r="K13" s="791"/>
      <c r="L13" s="791"/>
      <c r="M13" s="100"/>
      <c r="N13" s="100"/>
      <c r="O13" s="100"/>
      <c r="P13" s="33"/>
    </row>
    <row r="14" spans="3:16">
      <c r="C14" s="857">
        <f t="shared" ref="C14:C24" si="0">C13+1</f>
        <v>3</v>
      </c>
      <c r="D14" s="791" t="str">
        <f>"Number codes starting with " &amp;H12&amp;": "</f>
        <v xml:space="preserve">Number codes starting with F: </v>
      </c>
      <c r="E14" s="791"/>
      <c r="F14" s="791"/>
      <c r="G14" s="791">
        <f>SUMPRODUCT((LEFT(D17:D24)=$H$12)*1)</f>
        <v>2</v>
      </c>
      <c r="H14" s="900" t="s">
        <v>99</v>
      </c>
      <c r="I14" s="791"/>
      <c r="J14" s="791"/>
      <c r="K14" s="791"/>
      <c r="L14" s="791"/>
      <c r="M14" s="100"/>
      <c r="N14" s="100"/>
      <c r="O14" s="100"/>
      <c r="P14" s="33"/>
    </row>
    <row r="15" spans="3:16">
      <c r="C15" s="857">
        <f t="shared" si="0"/>
        <v>4</v>
      </c>
      <c r="D15" s="791"/>
      <c r="E15" s="791"/>
      <c r="F15" s="791"/>
      <c r="G15" s="900"/>
      <c r="H15" s="791"/>
      <c r="I15" s="791"/>
      <c r="J15" s="791"/>
      <c r="K15" s="791"/>
      <c r="L15" s="791"/>
      <c r="M15" s="100"/>
      <c r="N15" s="100"/>
      <c r="O15" s="100"/>
      <c r="P15" s="33"/>
    </row>
    <row r="16" spans="3:16" ht="13.5" thickBot="1">
      <c r="C16" s="857">
        <f t="shared" si="0"/>
        <v>5</v>
      </c>
      <c r="D16" s="1190" t="s">
        <v>640</v>
      </c>
      <c r="E16" s="791"/>
      <c r="F16" s="791"/>
      <c r="G16" s="791"/>
      <c r="H16" s="791"/>
      <c r="I16" s="900"/>
      <c r="J16" s="791"/>
      <c r="K16" s="791"/>
      <c r="L16" s="791"/>
      <c r="M16" s="100"/>
      <c r="N16" s="100"/>
      <c r="O16" s="100"/>
      <c r="P16" s="33"/>
    </row>
    <row r="17" spans="3:16">
      <c r="C17" s="949">
        <f t="shared" si="0"/>
        <v>6</v>
      </c>
      <c r="D17" s="1284" t="s">
        <v>203</v>
      </c>
      <c r="E17" s="809"/>
      <c r="F17" s="791"/>
      <c r="G17" s="791"/>
      <c r="H17" s="791"/>
      <c r="I17" s="791"/>
      <c r="J17" s="791"/>
      <c r="K17" s="791"/>
      <c r="L17" s="791"/>
      <c r="M17" s="100"/>
      <c r="N17" s="100"/>
      <c r="O17" s="100"/>
      <c r="P17" s="33"/>
    </row>
    <row r="18" spans="3:16">
      <c r="C18" s="949">
        <f t="shared" si="0"/>
        <v>7</v>
      </c>
      <c r="D18" s="1285" t="s">
        <v>204</v>
      </c>
      <c r="E18" s="809"/>
      <c r="F18" s="791"/>
      <c r="G18" s="791"/>
      <c r="H18" s="791"/>
      <c r="I18" s="791"/>
      <c r="J18" s="791"/>
      <c r="K18" s="791"/>
      <c r="L18" s="791"/>
      <c r="M18" s="100"/>
      <c r="N18" s="100"/>
      <c r="O18" s="100"/>
      <c r="P18" s="33"/>
    </row>
    <row r="19" spans="3:16">
      <c r="C19" s="949">
        <f t="shared" si="0"/>
        <v>8</v>
      </c>
      <c r="D19" s="1285" t="s">
        <v>205</v>
      </c>
      <c r="E19" s="809"/>
      <c r="F19" s="791"/>
      <c r="G19" s="791"/>
      <c r="H19" s="791"/>
      <c r="I19" s="791"/>
      <c r="J19" s="791"/>
      <c r="K19" s="791"/>
      <c r="L19" s="791"/>
      <c r="M19" s="100"/>
      <c r="N19" s="100"/>
      <c r="O19" s="100"/>
      <c r="P19" s="33"/>
    </row>
    <row r="20" spans="3:16">
      <c r="C20" s="949">
        <f t="shared" si="0"/>
        <v>9</v>
      </c>
      <c r="D20" s="1285" t="s">
        <v>206</v>
      </c>
      <c r="E20" s="809"/>
      <c r="F20" s="791"/>
      <c r="G20" s="791"/>
      <c r="H20" s="791"/>
      <c r="I20" s="791"/>
      <c r="J20" s="791"/>
      <c r="K20" s="791"/>
      <c r="L20" s="791"/>
      <c r="M20" s="100"/>
      <c r="N20" s="100"/>
      <c r="O20" s="100"/>
      <c r="P20" s="33"/>
    </row>
    <row r="21" spans="3:16">
      <c r="C21" s="949">
        <f t="shared" si="0"/>
        <v>10</v>
      </c>
      <c r="D21" s="1285" t="s">
        <v>207</v>
      </c>
      <c r="E21" s="809"/>
      <c r="F21" s="791"/>
      <c r="G21" s="791"/>
      <c r="H21" s="791"/>
      <c r="I21" s="791"/>
      <c r="J21" s="791"/>
      <c r="K21" s="791"/>
      <c r="L21" s="791"/>
      <c r="M21" s="100"/>
      <c r="N21" s="100"/>
      <c r="O21" s="100"/>
      <c r="P21" s="33"/>
    </row>
    <row r="22" spans="3:16">
      <c r="C22" s="949">
        <f t="shared" si="0"/>
        <v>11</v>
      </c>
      <c r="D22" s="1285" t="s">
        <v>208</v>
      </c>
      <c r="E22" s="809"/>
      <c r="F22" s="791"/>
      <c r="G22" s="791"/>
      <c r="H22" s="791"/>
      <c r="I22" s="791"/>
      <c r="J22" s="791"/>
      <c r="K22" s="791"/>
      <c r="L22" s="791"/>
      <c r="M22" s="100"/>
      <c r="N22" s="100"/>
      <c r="O22" s="100"/>
      <c r="P22" s="33"/>
    </row>
    <row r="23" spans="3:16">
      <c r="C23" s="949">
        <f t="shared" si="0"/>
        <v>12</v>
      </c>
      <c r="D23" s="1285" t="s">
        <v>209</v>
      </c>
      <c r="E23" s="809"/>
      <c r="F23" s="791"/>
      <c r="G23" s="791"/>
      <c r="H23" s="791"/>
      <c r="I23" s="791"/>
      <c r="J23" s="791"/>
      <c r="K23" s="791"/>
      <c r="L23" s="791"/>
      <c r="M23" s="100"/>
      <c r="N23" s="100"/>
      <c r="O23" s="100"/>
      <c r="P23" s="33"/>
    </row>
    <row r="24" spans="3:16" ht="13" thickBot="1">
      <c r="C24" s="949">
        <f t="shared" si="0"/>
        <v>13</v>
      </c>
      <c r="D24" s="1286" t="s">
        <v>210</v>
      </c>
      <c r="E24" s="809"/>
      <c r="F24" s="791"/>
      <c r="G24" s="791"/>
      <c r="H24" s="791"/>
      <c r="I24" s="791"/>
      <c r="J24" s="791"/>
      <c r="K24" s="791"/>
      <c r="L24" s="791"/>
      <c r="M24" s="100"/>
      <c r="N24" s="100"/>
      <c r="O24" s="100"/>
      <c r="P24" s="33"/>
    </row>
    <row r="25" spans="3:16"/>
    <row r="26" spans="3:16">
      <c r="C26" s="1585" t="s">
        <v>1625</v>
      </c>
      <c r="D26" s="1585"/>
      <c r="E26" s="1585"/>
      <c r="F26" s="1585"/>
      <c r="G26" s="1585"/>
      <c r="H26" s="1585"/>
      <c r="I26" s="1585"/>
      <c r="J26" s="1585"/>
      <c r="K26" s="1585"/>
      <c r="L26" s="1585"/>
      <c r="M26" s="1585"/>
      <c r="N26" s="1585"/>
      <c r="O26" s="1585"/>
    </row>
    <row r="27" spans="3:16">
      <c r="C27" s="1585"/>
      <c r="D27" s="1585"/>
      <c r="E27" s="1585"/>
      <c r="F27" s="1585"/>
      <c r="G27" s="1585"/>
      <c r="H27" s="1585"/>
      <c r="I27" s="1585"/>
      <c r="J27" s="1585"/>
      <c r="K27" s="1585"/>
      <c r="L27" s="1585"/>
      <c r="M27" s="1585"/>
      <c r="N27" s="1585"/>
      <c r="O27" s="1585"/>
    </row>
    <row r="28" spans="3:16">
      <c r="C28" s="1585"/>
      <c r="D28" s="1585"/>
      <c r="E28" s="1585"/>
      <c r="F28" s="1585"/>
      <c r="G28" s="1585"/>
      <c r="H28" s="1585"/>
      <c r="I28" s="1585"/>
      <c r="J28" s="1585"/>
      <c r="K28" s="1585"/>
      <c r="L28" s="1585"/>
      <c r="M28" s="1585"/>
      <c r="N28" s="1585"/>
      <c r="O28" s="1585"/>
    </row>
    <row r="29" spans="3:16" ht="6" customHeight="1">
      <c r="C29" s="263"/>
      <c r="D29" s="263"/>
      <c r="E29" s="263"/>
      <c r="F29" s="263"/>
      <c r="G29" s="263"/>
      <c r="H29" s="263"/>
      <c r="I29" s="263"/>
      <c r="J29" s="263"/>
      <c r="K29" s="263"/>
      <c r="L29" s="263"/>
      <c r="M29" s="263"/>
      <c r="N29" s="263"/>
      <c r="O29" s="263"/>
    </row>
    <row r="30" spans="3:16">
      <c r="C30" s="1738" t="s">
        <v>646</v>
      </c>
      <c r="D30" s="1739"/>
      <c r="E30" s="1739"/>
      <c r="F30" s="1739"/>
      <c r="G30" s="1739"/>
      <c r="H30" s="1739"/>
      <c r="I30" s="1739"/>
      <c r="J30" s="263"/>
      <c r="K30" s="263"/>
      <c r="L30" s="263"/>
      <c r="M30" s="263"/>
      <c r="N30" s="263"/>
      <c r="O30" s="263"/>
    </row>
    <row r="31" spans="3:16" ht="6" customHeight="1">
      <c r="C31" s="263"/>
      <c r="D31" s="263"/>
      <c r="E31" s="263"/>
      <c r="F31" s="263"/>
      <c r="G31" s="263"/>
      <c r="H31" s="263"/>
      <c r="I31" s="263"/>
      <c r="J31" s="263"/>
      <c r="K31" s="263"/>
      <c r="L31" s="263"/>
      <c r="M31" s="263"/>
      <c r="N31" s="263"/>
      <c r="O31" s="263"/>
    </row>
    <row r="32" spans="3:16">
      <c r="C32" s="1585" t="s">
        <v>1626</v>
      </c>
      <c r="D32" s="1585"/>
      <c r="E32" s="1585"/>
      <c r="F32" s="1585"/>
      <c r="G32" s="1585"/>
      <c r="H32" s="1585"/>
      <c r="I32" s="1585"/>
      <c r="J32" s="1585"/>
      <c r="K32" s="1585"/>
      <c r="L32" s="1585"/>
      <c r="M32" s="1585"/>
      <c r="N32" s="1585"/>
      <c r="O32" s="1585"/>
    </row>
    <row r="33" spans="3:15">
      <c r="C33" s="1585"/>
      <c r="D33" s="1585"/>
      <c r="E33" s="1585"/>
      <c r="F33" s="1585"/>
      <c r="G33" s="1585"/>
      <c r="H33" s="1585"/>
      <c r="I33" s="1585"/>
      <c r="J33" s="1585"/>
      <c r="K33" s="1585"/>
      <c r="L33" s="1585"/>
      <c r="M33" s="1585"/>
      <c r="N33" s="1585"/>
      <c r="O33" s="1585"/>
    </row>
    <row r="34" spans="3:15">
      <c r="C34" s="1585"/>
      <c r="D34" s="1585"/>
      <c r="E34" s="1585"/>
      <c r="F34" s="1585"/>
      <c r="G34" s="1585"/>
      <c r="H34" s="1585"/>
      <c r="I34" s="1585"/>
      <c r="J34" s="1585"/>
      <c r="K34" s="1585"/>
      <c r="L34" s="1585"/>
      <c r="M34" s="1585"/>
      <c r="N34" s="1585"/>
      <c r="O34" s="1585"/>
    </row>
    <row r="35" spans="3:15" ht="13" thickBot="1">
      <c r="C35" s="263"/>
      <c r="D35" s="263"/>
      <c r="E35" s="263"/>
      <c r="F35" s="263"/>
      <c r="G35" s="263"/>
      <c r="H35" s="263"/>
      <c r="I35" s="263"/>
      <c r="J35" s="263"/>
      <c r="K35" s="263"/>
      <c r="L35" s="263"/>
      <c r="M35" s="263"/>
      <c r="N35" s="263"/>
      <c r="O35" s="263"/>
    </row>
    <row r="36" spans="3:15" ht="13.5" thickTop="1" thickBot="1">
      <c r="C36" s="1270"/>
      <c r="D36" s="1270" t="s">
        <v>1363</v>
      </c>
      <c r="E36" s="1270" t="s">
        <v>1364</v>
      </c>
      <c r="F36" s="1270" t="s">
        <v>1473</v>
      </c>
      <c r="G36" s="1270" t="s">
        <v>1474</v>
      </c>
      <c r="H36" s="1290" t="s">
        <v>1475</v>
      </c>
      <c r="I36" s="1270" t="s">
        <v>1476</v>
      </c>
      <c r="J36" s="1270" t="s">
        <v>497</v>
      </c>
      <c r="K36" s="1270" t="s">
        <v>1511</v>
      </c>
      <c r="L36" s="1333"/>
      <c r="M36" s="1545" t="str">
        <f ca="1">OFFSET(ad_first,OFFSET(ads_top,ROW(ads_Combine_2)-1,2),0)</f>
        <v>Our financial modelling course covers the finance and accounting concepts that underlay financial modelling</v>
      </c>
      <c r="N36" s="1689"/>
      <c r="O36" s="1690"/>
    </row>
    <row r="37" spans="3:15" ht="13" thickBot="1">
      <c r="C37" s="1270">
        <v>1</v>
      </c>
      <c r="D37" s="808" t="s">
        <v>88</v>
      </c>
      <c r="E37" s="808"/>
      <c r="F37" s="808"/>
      <c r="G37" s="1018"/>
      <c r="H37" s="1287" t="s">
        <v>1476</v>
      </c>
      <c r="I37" s="1272"/>
      <c r="J37" s="899"/>
      <c r="K37" s="899"/>
      <c r="L37" s="1334"/>
      <c r="M37" s="1691"/>
      <c r="N37" s="1692"/>
      <c r="O37" s="1693"/>
    </row>
    <row r="38" spans="3:15">
      <c r="C38" s="1270">
        <v>2</v>
      </c>
      <c r="D38" s="791"/>
      <c r="E38" s="791"/>
      <c r="F38" s="791"/>
      <c r="G38" s="791"/>
      <c r="H38" s="963"/>
      <c r="I38" s="899"/>
      <c r="J38" s="899"/>
      <c r="K38" s="899"/>
      <c r="L38" s="1334"/>
      <c r="M38" s="1691"/>
      <c r="N38" s="1692"/>
      <c r="O38" s="1693"/>
    </row>
    <row r="39" spans="3:15">
      <c r="C39" s="1270">
        <v>3</v>
      </c>
      <c r="D39" s="791" t="str">
        <f>"Number codes starting with " &amp;H37&amp;": "</f>
        <v xml:space="preserve">Number codes starting with F: </v>
      </c>
      <c r="E39" s="791"/>
      <c r="F39" s="791"/>
      <c r="G39" s="899">
        <f>SUMPRODUCT(E42:E49*I42:I49)</f>
        <v>2</v>
      </c>
      <c r="H39" s="1038" t="s">
        <v>98</v>
      </c>
      <c r="I39" s="899"/>
      <c r="J39" s="899"/>
      <c r="K39" s="899"/>
      <c r="L39" s="1334"/>
      <c r="M39" s="1691"/>
      <c r="N39" s="1692"/>
      <c r="O39" s="1693"/>
    </row>
    <row r="40" spans="3:15" ht="13" thickBot="1">
      <c r="C40" s="1270">
        <v>4</v>
      </c>
      <c r="D40" s="791"/>
      <c r="E40" s="791"/>
      <c r="F40" s="791"/>
      <c r="G40" s="791"/>
      <c r="H40" s="791"/>
      <c r="I40" s="899"/>
      <c r="J40" s="899"/>
      <c r="K40" s="899"/>
      <c r="L40" s="1334"/>
      <c r="M40" s="1694"/>
      <c r="N40" s="1695"/>
      <c r="O40" s="1696"/>
    </row>
    <row r="41" spans="3:15" ht="14" thickTop="1" thickBot="1">
      <c r="C41" s="1270">
        <v>5</v>
      </c>
      <c r="D41" s="1289" t="s">
        <v>640</v>
      </c>
      <c r="E41" s="1271"/>
      <c r="F41" s="899"/>
      <c r="G41" s="899"/>
      <c r="H41" s="899"/>
      <c r="I41" s="1271"/>
      <c r="J41" s="899"/>
      <c r="K41" s="899"/>
      <c r="L41" s="1334"/>
      <c r="M41" s="263"/>
      <c r="N41" s="263"/>
      <c r="O41" s="263"/>
    </row>
    <row r="42" spans="3:15" ht="13" thickBot="1">
      <c r="C42" s="1273">
        <v>6</v>
      </c>
      <c r="D42" s="1288" t="s">
        <v>203</v>
      </c>
      <c r="E42" s="1278" t="b">
        <f t="shared" ref="E42:E49" si="1">LEFT(D42,1)=$H$37</f>
        <v>1</v>
      </c>
      <c r="F42" s="1276" t="s">
        <v>90</v>
      </c>
      <c r="G42" s="899"/>
      <c r="H42" s="1018"/>
      <c r="I42" s="1281" t="b">
        <v>1</v>
      </c>
      <c r="J42" s="1276" t="s">
        <v>639</v>
      </c>
      <c r="K42" s="899"/>
      <c r="L42" s="1334"/>
      <c r="M42" s="263"/>
      <c r="N42" s="263"/>
      <c r="O42" s="263"/>
    </row>
    <row r="43" spans="3:15">
      <c r="C43" s="1270">
        <v>7</v>
      </c>
      <c r="D43" s="1274" t="s">
        <v>204</v>
      </c>
      <c r="E43" s="1279" t="b">
        <f t="shared" si="1"/>
        <v>0</v>
      </c>
      <c r="F43" s="1277" t="s">
        <v>91</v>
      </c>
      <c r="G43" s="899"/>
      <c r="H43" s="1018"/>
      <c r="I43" s="1282" t="b">
        <v>1</v>
      </c>
      <c r="J43" s="1277" t="s">
        <v>639</v>
      </c>
      <c r="K43" s="899"/>
      <c r="L43" s="1334"/>
      <c r="M43" s="263"/>
      <c r="N43" s="263"/>
      <c r="O43" s="263"/>
    </row>
    <row r="44" spans="3:15">
      <c r="C44" s="1270">
        <v>8</v>
      </c>
      <c r="D44" s="1275" t="s">
        <v>205</v>
      </c>
      <c r="E44" s="1279" t="b">
        <f t="shared" si="1"/>
        <v>0</v>
      </c>
      <c r="F44" s="1277" t="s">
        <v>92</v>
      </c>
      <c r="G44" s="899"/>
      <c r="H44" s="1018"/>
      <c r="I44" s="1282" t="b">
        <v>1</v>
      </c>
      <c r="J44" s="1277" t="s">
        <v>639</v>
      </c>
      <c r="K44" s="899"/>
      <c r="L44" s="1334"/>
      <c r="M44" s="263"/>
      <c r="N44" s="263"/>
      <c r="O44" s="263"/>
    </row>
    <row r="45" spans="3:15">
      <c r="C45" s="1270">
        <v>9</v>
      </c>
      <c r="D45" s="1275" t="s">
        <v>206</v>
      </c>
      <c r="E45" s="1279" t="b">
        <f t="shared" si="1"/>
        <v>0</v>
      </c>
      <c r="F45" s="1277" t="s">
        <v>93</v>
      </c>
      <c r="G45" s="899"/>
      <c r="H45" s="1018"/>
      <c r="I45" s="1282" t="b">
        <v>1</v>
      </c>
      <c r="J45" s="1277" t="s">
        <v>639</v>
      </c>
      <c r="K45" s="899"/>
      <c r="L45" s="1334"/>
      <c r="M45" s="263"/>
      <c r="N45" s="263"/>
      <c r="O45" s="263"/>
    </row>
    <row r="46" spans="3:15">
      <c r="C46" s="1270">
        <v>10</v>
      </c>
      <c r="D46" s="1275" t="s">
        <v>207</v>
      </c>
      <c r="E46" s="1279" t="b">
        <f t="shared" si="1"/>
        <v>1</v>
      </c>
      <c r="F46" s="1277" t="s">
        <v>94</v>
      </c>
      <c r="G46" s="899"/>
      <c r="H46" s="1018"/>
      <c r="I46" s="1282" t="b">
        <v>1</v>
      </c>
      <c r="J46" s="1277" t="s">
        <v>639</v>
      </c>
      <c r="K46" s="899"/>
      <c r="L46" s="1334"/>
      <c r="M46" s="263"/>
      <c r="N46" s="263"/>
      <c r="O46" s="263"/>
    </row>
    <row r="47" spans="3:15">
      <c r="C47" s="1270">
        <v>11</v>
      </c>
      <c r="D47" s="1275" t="s">
        <v>208</v>
      </c>
      <c r="E47" s="1279" t="b">
        <f t="shared" si="1"/>
        <v>0</v>
      </c>
      <c r="F47" s="1277" t="s">
        <v>95</v>
      </c>
      <c r="G47" s="899"/>
      <c r="H47" s="1018"/>
      <c r="I47" s="1282" t="b">
        <v>1</v>
      </c>
      <c r="J47" s="1277" t="s">
        <v>639</v>
      </c>
      <c r="K47" s="899"/>
      <c r="L47" s="1334"/>
      <c r="M47" s="263"/>
      <c r="N47" s="263"/>
      <c r="O47" s="263"/>
    </row>
    <row r="48" spans="3:15">
      <c r="C48" s="1270">
        <v>12</v>
      </c>
      <c r="D48" s="1275" t="s">
        <v>209</v>
      </c>
      <c r="E48" s="1279" t="b">
        <f t="shared" si="1"/>
        <v>0</v>
      </c>
      <c r="F48" s="1277" t="s">
        <v>96</v>
      </c>
      <c r="G48" s="899"/>
      <c r="H48" s="1018"/>
      <c r="I48" s="1282" t="b">
        <v>1</v>
      </c>
      <c r="J48" s="1277" t="s">
        <v>639</v>
      </c>
      <c r="K48" s="899"/>
      <c r="L48" s="1334"/>
      <c r="M48" s="263"/>
      <c r="N48" s="263"/>
      <c r="O48" s="263"/>
    </row>
    <row r="49" spans="3:15" ht="13" thickBot="1">
      <c r="C49" s="1270">
        <v>13</v>
      </c>
      <c r="D49" s="1275" t="s">
        <v>210</v>
      </c>
      <c r="E49" s="1280" t="b">
        <f t="shared" si="1"/>
        <v>0</v>
      </c>
      <c r="F49" s="1277" t="s">
        <v>97</v>
      </c>
      <c r="G49" s="899"/>
      <c r="H49" s="1018"/>
      <c r="I49" s="1283" t="b">
        <v>1</v>
      </c>
      <c r="J49" s="1277" t="s">
        <v>639</v>
      </c>
      <c r="K49" s="899"/>
      <c r="L49" s="1334"/>
      <c r="M49" s="263"/>
      <c r="N49" s="263"/>
      <c r="O49" s="263"/>
    </row>
    <row r="50" spans="3:15"/>
    <row r="51" spans="3:15">
      <c r="C51" s="1697" t="str">
        <f>back_to_index</f>
        <v>Back to contents</v>
      </c>
      <c r="D51" s="1697"/>
      <c r="G51" s="1530" t="str">
        <f>page_prefix &amp; page_Combine_2&amp; page_suffix</f>
        <v>- Page 39 -</v>
      </c>
      <c r="H51" s="1530"/>
      <c r="I51" s="1530"/>
      <c r="J51" s="1481"/>
      <c r="K51" s="1481"/>
      <c r="N51" s="1640" t="str">
        <f>back_to_top</f>
        <v>Back to top</v>
      </c>
      <c r="O51" s="1640"/>
    </row>
    <row r="52" spans="3:15">
      <c r="G52" s="1530" t="str">
        <f>copyright</f>
        <v>Copyright (c) 2009 Tykoh Group Pty Limited</v>
      </c>
      <c r="H52" s="1530"/>
      <c r="I52" s="1530"/>
      <c r="J52" s="1481"/>
      <c r="K52" s="1481"/>
    </row>
    <row r="53" spans="3:15">
      <c r="G53" s="1452" t="str">
        <f>home_address</f>
        <v>www.tykoh.com</v>
      </c>
      <c r="H53" s="1452"/>
      <c r="I53" s="1452"/>
      <c r="J53" s="1452"/>
      <c r="K53" s="1452"/>
    </row>
    <row r="54" spans="3:15"/>
  </sheetData>
  <sheetProtection algorithmName="SHA-512" hashValue="g48vhGHajgMvbmpbYtoa8fLtALNe2tcqzOBKzB6H/g+2y8MWRfXKEjTtsQM0zq5HY/2qBmHyaqLsE9A6eFAjMg==" saltValue="nvPTdO57yvuX1saMwXAFDg==" spinCount="100000" sheet="1" objects="1" scenarios="1"/>
  <mergeCells count="12">
    <mergeCell ref="M36:O40"/>
    <mergeCell ref="G53:K53"/>
    <mergeCell ref="C51:D51"/>
    <mergeCell ref="G51:K51"/>
    <mergeCell ref="N51:O51"/>
    <mergeCell ref="G52:K52"/>
    <mergeCell ref="C8:L10"/>
    <mergeCell ref="C32:O34"/>
    <mergeCell ref="M4:O8"/>
    <mergeCell ref="C5:L6"/>
    <mergeCell ref="C26:O28"/>
    <mergeCell ref="C30:I30"/>
  </mergeCells>
  <phoneticPr fontId="2" type="noConversion"/>
  <dataValidations count="1">
    <dataValidation type="list" allowBlank="1" showInputMessage="1" showErrorMessage="1" sqref="H37 H12" xr:uid="{00000000-0002-0000-3300-000000000000}">
      <formula1>"A,B,C,D,E,F"</formula1>
    </dataValidation>
  </dataValidations>
  <hyperlinks>
    <hyperlink ref="C30:I30" location="hh_fn_SUMPRODUCT" display="[For more information about the SUMPRODUCT function click here]" xr:uid="{00000000-0004-0000-3300-000000000000}"/>
    <hyperlink ref="N51:O51" location="hh_Combine_2" display="hh_Combine_2" xr:uid="{00000000-0004-0000-3300-000001000000}"/>
    <hyperlink ref="C51:D51" location="hh_index" display="hh_index" xr:uid="{00000000-0004-0000-3300-000002000000}"/>
    <hyperlink ref="G53:K53" r:id="rId1" display="https://www.tykoh.com/" xr:uid="{00000000-0004-0000-3300-000003000000}"/>
  </hyperlinks>
  <pageMargins left="0.75" right="0.75" top="1" bottom="1" header="0.5" footer="0.5"/>
  <pageSetup paperSize="9" scale="71" orientation="portrait" r:id="rId2"/>
  <headerFooter alignWithMargins="0"/>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1">
    <pageSetUpPr fitToPage="1"/>
  </sheetPr>
  <dimension ref="C1:O85"/>
  <sheetViews>
    <sheetView showGridLines="0" showRowColHeaders="0" topLeftCell="A73" workbookViewId="0">
      <selection activeCell="G84" sqref="G84:K84"/>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21</v>
      </c>
    </row>
    <row r="4" spans="3:15" ht="13" thickTop="1">
      <c r="C4" s="1585" t="s">
        <v>1046</v>
      </c>
      <c r="D4" s="1585"/>
      <c r="E4" s="1585"/>
      <c r="F4" s="1585"/>
      <c r="G4" s="1585"/>
      <c r="H4" s="1585"/>
      <c r="I4" s="1585"/>
      <c r="J4" s="1585"/>
      <c r="K4" s="1585"/>
      <c r="L4" s="1568"/>
      <c r="M4" s="1521" t="str">
        <f ca="1">OFFSET(ad_first,OFFSET(ads_top,ROW(ads_Combine_3)-1,1),0)</f>
        <v>Participants on our courses have the opportunity to do on-line pre and post-course self-evaluations.</v>
      </c>
      <c r="N4" s="1507"/>
      <c r="O4" s="1508"/>
    </row>
    <row r="5" spans="3:15">
      <c r="C5" s="1585"/>
      <c r="D5" s="1585"/>
      <c r="E5" s="1585"/>
      <c r="F5" s="1585"/>
      <c r="G5" s="1585"/>
      <c r="H5" s="1585"/>
      <c r="I5" s="1585"/>
      <c r="J5" s="1585"/>
      <c r="K5" s="1585"/>
      <c r="L5" s="1568"/>
      <c r="M5" s="1509"/>
      <c r="N5" s="1510"/>
      <c r="O5" s="1511"/>
    </row>
    <row r="6" spans="3:15">
      <c r="C6" s="1585"/>
      <c r="D6" s="1585"/>
      <c r="E6" s="1585"/>
      <c r="F6" s="1585"/>
      <c r="G6" s="1585"/>
      <c r="H6" s="1585"/>
      <c r="I6" s="1585"/>
      <c r="J6" s="1585"/>
      <c r="K6" s="1585"/>
      <c r="L6" s="1568"/>
      <c r="M6" s="1509"/>
      <c r="N6" s="1510"/>
      <c r="O6" s="1511"/>
    </row>
    <row r="7" spans="3:15">
      <c r="M7" s="1509"/>
      <c r="N7" s="1510"/>
      <c r="O7" s="1511"/>
    </row>
    <row r="8" spans="3:15" ht="13" thickBot="1">
      <c r="C8" s="1585" t="s">
        <v>1047</v>
      </c>
      <c r="D8" s="1585"/>
      <c r="E8" s="1585"/>
      <c r="F8" s="1585"/>
      <c r="G8" s="1585"/>
      <c r="H8" s="1585"/>
      <c r="I8" s="1585"/>
      <c r="J8" s="1585"/>
      <c r="K8" s="1585"/>
      <c r="L8" s="1585"/>
      <c r="M8" s="1512"/>
      <c r="N8" s="1513"/>
      <c r="O8" s="1514"/>
    </row>
    <row r="9" spans="3:15" ht="13" thickTop="1">
      <c r="C9" s="1585"/>
      <c r="D9" s="1585"/>
      <c r="E9" s="1585"/>
      <c r="F9" s="1585"/>
      <c r="G9" s="1585"/>
      <c r="H9" s="1585"/>
      <c r="I9" s="1585"/>
      <c r="J9" s="1585"/>
      <c r="K9" s="1585"/>
      <c r="L9" s="1585"/>
      <c r="M9" s="1310"/>
      <c r="N9" s="1311"/>
      <c r="O9" s="1311"/>
    </row>
    <row r="10" spans="3:15">
      <c r="C10" s="1585"/>
      <c r="D10" s="1585"/>
      <c r="E10" s="1585"/>
      <c r="F10" s="1585"/>
      <c r="G10" s="1585"/>
      <c r="H10" s="1585"/>
      <c r="I10" s="1585"/>
      <c r="J10" s="1585"/>
      <c r="K10" s="1585"/>
      <c r="L10" s="1585"/>
      <c r="O10" s="33"/>
    </row>
    <row r="11" spans="3:15">
      <c r="C11" s="1585" t="s">
        <v>1400</v>
      </c>
      <c r="D11" s="1518"/>
      <c r="E11" s="1518"/>
      <c r="F11" s="1518"/>
      <c r="G11" s="1518"/>
      <c r="H11" s="1518"/>
      <c r="I11" s="1518"/>
      <c r="J11" s="1518"/>
      <c r="K11" s="1518"/>
      <c r="L11" s="1518"/>
      <c r="M11" s="1518"/>
      <c r="N11" s="1518"/>
      <c r="O11" s="1518"/>
    </row>
    <row r="12" spans="3:15">
      <c r="C12" s="1518"/>
      <c r="D12" s="1518"/>
      <c r="E12" s="1518"/>
      <c r="F12" s="1518"/>
      <c r="G12" s="1518"/>
      <c r="H12" s="1518"/>
      <c r="I12" s="1518"/>
      <c r="J12" s="1518"/>
      <c r="K12" s="1518"/>
      <c r="L12" s="1518"/>
      <c r="M12" s="1518"/>
      <c r="N12" s="1518"/>
      <c r="O12" s="1518"/>
    </row>
    <row r="13" spans="3:15">
      <c r="O13" s="33"/>
    </row>
    <row r="14" spans="3:15" ht="13">
      <c r="C14" s="772" t="s">
        <v>1418</v>
      </c>
      <c r="O14" s="33"/>
    </row>
    <row r="15" spans="3:15">
      <c r="C15" s="1585" t="s">
        <v>1163</v>
      </c>
      <c r="D15" s="1518"/>
      <c r="E15" s="1518"/>
      <c r="F15" s="1518"/>
      <c r="G15" s="1518"/>
      <c r="H15" s="1518"/>
      <c r="I15" s="1518"/>
      <c r="J15" s="1518"/>
      <c r="K15" s="1518"/>
      <c r="L15" s="1518"/>
      <c r="M15" s="1518"/>
      <c r="N15" s="1518"/>
      <c r="O15" s="1518"/>
    </row>
    <row r="16" spans="3:15">
      <c r="C16" s="1518"/>
      <c r="D16" s="1518"/>
      <c r="E16" s="1518"/>
      <c r="F16" s="1518"/>
      <c r="G16" s="1518"/>
      <c r="H16" s="1518"/>
      <c r="I16" s="1518"/>
      <c r="J16" s="1518"/>
      <c r="K16" s="1518"/>
      <c r="L16" s="1518"/>
      <c r="M16" s="1518"/>
      <c r="N16" s="1518"/>
      <c r="O16" s="1518"/>
    </row>
    <row r="17" spans="3:15">
      <c r="C17" s="1518"/>
      <c r="D17" s="1518"/>
      <c r="E17" s="1518"/>
      <c r="F17" s="1518"/>
      <c r="G17" s="1518"/>
      <c r="H17" s="1518"/>
      <c r="I17" s="1518"/>
      <c r="J17" s="1518"/>
      <c r="K17" s="1518"/>
      <c r="L17" s="1518"/>
      <c r="M17" s="1518"/>
      <c r="N17" s="1518"/>
      <c r="O17" s="1518"/>
    </row>
    <row r="18" spans="3:15">
      <c r="C18" s="1585" t="s">
        <v>1164</v>
      </c>
      <c r="D18" s="1518"/>
      <c r="E18" s="1518"/>
      <c r="F18" s="1518"/>
      <c r="G18" s="1518"/>
      <c r="H18" s="1518"/>
      <c r="I18" s="1518"/>
      <c r="J18" s="1518"/>
      <c r="K18" s="1518"/>
      <c r="L18" s="1518"/>
      <c r="M18" s="1518"/>
      <c r="N18" s="1518"/>
      <c r="O18" s="1518"/>
    </row>
    <row r="19" spans="3:15">
      <c r="C19" s="1518"/>
      <c r="D19" s="1518"/>
      <c r="E19" s="1518"/>
      <c r="F19" s="1518"/>
      <c r="G19" s="1518"/>
      <c r="H19" s="1518"/>
      <c r="I19" s="1518"/>
      <c r="J19" s="1518"/>
      <c r="K19" s="1518"/>
      <c r="L19" s="1518"/>
      <c r="M19" s="1518"/>
      <c r="N19" s="1518"/>
      <c r="O19" s="1518"/>
    </row>
    <row r="20" spans="3:15">
      <c r="C20" s="619"/>
      <c r="D20" s="619"/>
      <c r="E20" s="619"/>
      <c r="F20" s="619"/>
      <c r="G20" s="619"/>
      <c r="H20" s="619"/>
      <c r="I20" s="619"/>
      <c r="J20" s="619"/>
      <c r="K20" s="619"/>
      <c r="L20" s="619"/>
      <c r="M20" s="619"/>
      <c r="N20" s="619"/>
      <c r="O20" s="619"/>
    </row>
    <row r="21" spans="3:15">
      <c r="C21" s="1585" t="s">
        <v>1414</v>
      </c>
      <c r="D21" s="1518"/>
      <c r="E21" s="1518"/>
      <c r="F21" s="1518"/>
      <c r="G21" s="1518"/>
      <c r="H21" s="1518"/>
      <c r="I21" s="1518"/>
      <c r="J21" s="1518"/>
      <c r="K21" s="1518"/>
      <c r="L21" s="1518"/>
      <c r="M21" s="1518"/>
      <c r="N21" s="1518"/>
      <c r="O21" s="1518"/>
    </row>
    <row r="22" spans="3:15">
      <c r="C22" s="1518"/>
      <c r="D22" s="1518"/>
      <c r="E22" s="1518"/>
      <c r="F22" s="1518"/>
      <c r="G22" s="1518"/>
      <c r="H22" s="1518"/>
      <c r="I22" s="1518"/>
      <c r="J22" s="1518"/>
      <c r="K22" s="1518"/>
      <c r="L22" s="1518"/>
      <c r="M22" s="1518"/>
      <c r="N22" s="1518"/>
      <c r="O22" s="1518"/>
    </row>
    <row r="23" spans="3:15">
      <c r="C23" s="1518"/>
      <c r="D23" s="1518"/>
      <c r="E23" s="1518"/>
      <c r="F23" s="1518"/>
      <c r="G23" s="1518"/>
      <c r="H23" s="1518"/>
      <c r="I23" s="1518"/>
      <c r="J23" s="1518"/>
      <c r="K23" s="1518"/>
      <c r="L23" s="1518"/>
      <c r="M23" s="1518"/>
      <c r="N23" s="1518"/>
      <c r="O23" s="1518"/>
    </row>
    <row r="24" spans="3:15">
      <c r="O24" s="33"/>
    </row>
    <row r="25" spans="3:15" ht="13" thickBot="1">
      <c r="C25" s="1254"/>
      <c r="D25" s="1254" t="s">
        <v>1363</v>
      </c>
      <c r="E25" s="1262" t="s">
        <v>1364</v>
      </c>
      <c r="F25" s="1254" t="s">
        <v>1473</v>
      </c>
      <c r="G25" s="1254" t="s">
        <v>1474</v>
      </c>
      <c r="H25" s="1254" t="s">
        <v>1475</v>
      </c>
      <c r="I25" s="1254" t="s">
        <v>1476</v>
      </c>
      <c r="J25" s="1254" t="s">
        <v>497</v>
      </c>
      <c r="K25" s="857" t="s">
        <v>1511</v>
      </c>
      <c r="L25" s="948" t="s">
        <v>1512</v>
      </c>
      <c r="M25" s="948" t="s">
        <v>1513</v>
      </c>
      <c r="N25" s="948" t="s">
        <v>1514</v>
      </c>
      <c r="O25" s="948" t="s">
        <v>1515</v>
      </c>
    </row>
    <row r="26" spans="3:15" ht="13" thickBot="1">
      <c r="C26" s="1254">
        <v>1</v>
      </c>
      <c r="D26" s="1255" t="s">
        <v>880</v>
      </c>
      <c r="E26" s="1350" t="s">
        <v>1379</v>
      </c>
      <c r="F26" s="809"/>
      <c r="G26" s="791"/>
      <c r="H26" s="791"/>
      <c r="I26" s="791"/>
      <c r="J26" s="791"/>
      <c r="K26" s="1018"/>
      <c r="L26" s="1263"/>
      <c r="M26" s="1264">
        <v>2007</v>
      </c>
      <c r="N26" s="1264">
        <v>2008</v>
      </c>
      <c r="O26" s="1268">
        <v>2009</v>
      </c>
    </row>
    <row r="27" spans="3:15" ht="13" thickBot="1">
      <c r="C27" s="1254">
        <f>C26+1</f>
        <v>2</v>
      </c>
      <c r="D27" s="1143"/>
      <c r="E27" s="1269"/>
      <c r="F27" s="791"/>
      <c r="G27" s="791"/>
      <c r="H27" s="791"/>
      <c r="I27" s="791"/>
      <c r="J27" s="791"/>
      <c r="K27" s="791"/>
      <c r="L27" s="1252"/>
      <c r="M27" s="1252"/>
      <c r="N27" s="1252"/>
      <c r="O27" s="1252"/>
    </row>
    <row r="28" spans="3:15" ht="13" thickBot="1">
      <c r="C28" s="1254">
        <f t="shared" ref="C28:C39" si="0">C27+1</f>
        <v>3</v>
      </c>
      <c r="D28" s="1255" t="s">
        <v>641</v>
      </c>
      <c r="E28" s="1351">
        <v>2008</v>
      </c>
      <c r="F28" s="809"/>
      <c r="G28" s="791"/>
      <c r="H28" s="791"/>
      <c r="I28" s="791"/>
      <c r="J28" s="791"/>
      <c r="K28" s="1018"/>
      <c r="L28" s="1266" t="s">
        <v>1371</v>
      </c>
      <c r="M28" s="1256">
        <v>65</v>
      </c>
      <c r="N28" s="1256">
        <v>55</v>
      </c>
      <c r="O28" s="1259">
        <v>4</v>
      </c>
    </row>
    <row r="29" spans="3:15">
      <c r="C29" s="1254">
        <f t="shared" si="0"/>
        <v>4</v>
      </c>
      <c r="D29" s="1143"/>
      <c r="E29" s="1257"/>
      <c r="F29" s="791"/>
      <c r="G29" s="791"/>
      <c r="H29" s="791"/>
      <c r="I29" s="791"/>
      <c r="J29" s="791"/>
      <c r="K29" s="1018"/>
      <c r="L29" s="1265" t="s">
        <v>1372</v>
      </c>
      <c r="M29" s="1253">
        <v>22</v>
      </c>
      <c r="N29" s="1253">
        <v>18</v>
      </c>
      <c r="O29" s="1260">
        <v>69</v>
      </c>
    </row>
    <row r="30" spans="3:15">
      <c r="C30" s="1254">
        <f t="shared" si="0"/>
        <v>5</v>
      </c>
      <c r="D30" s="791"/>
      <c r="E30" s="791"/>
      <c r="F30" s="791"/>
      <c r="G30" s="791"/>
      <c r="H30" s="791"/>
      <c r="I30" s="791"/>
      <c r="J30" s="791"/>
      <c r="K30" s="1018"/>
      <c r="L30" s="1265" t="s">
        <v>1373</v>
      </c>
      <c r="M30" s="1253">
        <v>48</v>
      </c>
      <c r="N30" s="1253">
        <v>6</v>
      </c>
      <c r="O30" s="1260">
        <v>93</v>
      </c>
    </row>
    <row r="31" spans="3:15">
      <c r="C31" s="1254">
        <f t="shared" si="0"/>
        <v>6</v>
      </c>
      <c r="D31" s="791"/>
      <c r="E31" s="791"/>
      <c r="F31" s="791"/>
      <c r="G31" s="791"/>
      <c r="H31" s="791"/>
      <c r="I31" s="791"/>
      <c r="J31" s="791"/>
      <c r="K31" s="1018"/>
      <c r="L31" s="1265" t="s">
        <v>1374</v>
      </c>
      <c r="M31" s="1253">
        <v>17</v>
      </c>
      <c r="N31" s="1253">
        <v>13</v>
      </c>
      <c r="O31" s="1260">
        <v>38</v>
      </c>
    </row>
    <row r="32" spans="3:15">
      <c r="C32" s="1254">
        <f t="shared" si="0"/>
        <v>7</v>
      </c>
      <c r="D32" s="1143"/>
      <c r="E32" s="1143"/>
      <c r="F32" s="791"/>
      <c r="G32" s="791"/>
      <c r="H32" s="791"/>
      <c r="I32" s="791"/>
      <c r="J32" s="791"/>
      <c r="K32" s="1018"/>
      <c r="L32" s="1265" t="s">
        <v>1375</v>
      </c>
      <c r="M32" s="1253">
        <v>70</v>
      </c>
      <c r="N32" s="1253">
        <v>54</v>
      </c>
      <c r="O32" s="1260">
        <v>80</v>
      </c>
    </row>
    <row r="33" spans="3:15">
      <c r="C33" s="1254">
        <f t="shared" si="0"/>
        <v>8</v>
      </c>
      <c r="D33" s="1143"/>
      <c r="E33" s="1143"/>
      <c r="F33" s="791"/>
      <c r="G33" s="791"/>
      <c r="H33" s="791"/>
      <c r="I33" s="791"/>
      <c r="J33" s="791"/>
      <c r="K33" s="1018"/>
      <c r="L33" s="1265" t="s">
        <v>1376</v>
      </c>
      <c r="M33" s="1253">
        <v>33</v>
      </c>
      <c r="N33" s="1253">
        <v>76</v>
      </c>
      <c r="O33" s="1260">
        <v>84</v>
      </c>
    </row>
    <row r="34" spans="3:15">
      <c r="C34" s="1254">
        <f t="shared" si="0"/>
        <v>9</v>
      </c>
      <c r="D34" s="1143" t="s">
        <v>643</v>
      </c>
      <c r="E34" s="1143">
        <f>VLOOKUP(E26,L28:O39,MATCH(E28,L26:O26,0),FALSE)</f>
        <v>71</v>
      </c>
      <c r="F34" s="900" t="s">
        <v>881</v>
      </c>
      <c r="G34" s="791"/>
      <c r="H34" s="791"/>
      <c r="I34" s="791"/>
      <c r="J34" s="791"/>
      <c r="K34" s="1018"/>
      <c r="L34" s="1265" t="s">
        <v>1377</v>
      </c>
      <c r="M34" s="1253">
        <v>68</v>
      </c>
      <c r="N34" s="1253">
        <v>34</v>
      </c>
      <c r="O34" s="1260">
        <v>30</v>
      </c>
    </row>
    <row r="35" spans="3:15">
      <c r="C35" s="1254">
        <f t="shared" si="0"/>
        <v>10</v>
      </c>
      <c r="D35" s="791"/>
      <c r="E35" s="791"/>
      <c r="F35" s="791"/>
      <c r="G35" s="791"/>
      <c r="H35" s="791"/>
      <c r="I35" s="791"/>
      <c r="J35" s="791"/>
      <c r="K35" s="1018"/>
      <c r="L35" s="1265" t="s">
        <v>1378</v>
      </c>
      <c r="M35" s="1253">
        <v>91</v>
      </c>
      <c r="N35" s="1253">
        <v>29</v>
      </c>
      <c r="O35" s="1260">
        <v>46</v>
      </c>
    </row>
    <row r="36" spans="3:15">
      <c r="C36" s="1254">
        <f t="shared" si="0"/>
        <v>11</v>
      </c>
      <c r="D36" s="791"/>
      <c r="E36" s="791"/>
      <c r="F36" s="791"/>
      <c r="G36" s="791"/>
      <c r="H36" s="791"/>
      <c r="I36" s="791"/>
      <c r="J36" s="791"/>
      <c r="K36" s="1018"/>
      <c r="L36" s="1265" t="s">
        <v>1379</v>
      </c>
      <c r="M36" s="1253">
        <v>1</v>
      </c>
      <c r="N36" s="1253">
        <v>71</v>
      </c>
      <c r="O36" s="1260">
        <v>87</v>
      </c>
    </row>
    <row r="37" spans="3:15" ht="13">
      <c r="C37" s="1254">
        <f t="shared" si="0"/>
        <v>12</v>
      </c>
      <c r="D37" s="1307" t="s">
        <v>1401</v>
      </c>
      <c r="E37" s="1307"/>
      <c r="F37" s="1305"/>
      <c r="G37" s="791"/>
      <c r="H37" s="791"/>
      <c r="I37" s="791"/>
      <c r="J37" s="791"/>
      <c r="K37" s="1018"/>
      <c r="L37" s="1265" t="s">
        <v>1380</v>
      </c>
      <c r="M37" s="1253">
        <v>41</v>
      </c>
      <c r="N37" s="1253">
        <v>38</v>
      </c>
      <c r="O37" s="1260">
        <v>9</v>
      </c>
    </row>
    <row r="38" spans="3:15" ht="13">
      <c r="C38" s="1254">
        <f t="shared" si="0"/>
        <v>13</v>
      </c>
      <c r="D38" s="1307"/>
      <c r="E38" s="1307"/>
      <c r="F38" s="1305"/>
      <c r="G38" s="791"/>
      <c r="H38" s="791"/>
      <c r="I38" s="791"/>
      <c r="J38" s="791"/>
      <c r="K38" s="1018"/>
      <c r="L38" s="1265" t="s">
        <v>1381</v>
      </c>
      <c r="M38" s="1253">
        <v>54</v>
      </c>
      <c r="N38" s="1253">
        <v>65</v>
      </c>
      <c r="O38" s="1260">
        <v>20</v>
      </c>
    </row>
    <row r="39" spans="3:15" ht="13.5" thickBot="1">
      <c r="C39" s="1254">
        <f t="shared" si="0"/>
        <v>14</v>
      </c>
      <c r="D39" s="1307"/>
      <c r="E39" s="1307">
        <f>MATCH(E28,L26:O26,0)</f>
        <v>3</v>
      </c>
      <c r="F39" s="1306" t="s">
        <v>1407</v>
      </c>
      <c r="G39" s="791"/>
      <c r="H39" s="791"/>
      <c r="I39" s="791"/>
      <c r="J39" s="791"/>
      <c r="K39" s="1018"/>
      <c r="L39" s="1267" t="s">
        <v>1382</v>
      </c>
      <c r="M39" s="1258">
        <v>65</v>
      </c>
      <c r="N39" s="1258">
        <v>34</v>
      </c>
      <c r="O39" s="1261">
        <v>70</v>
      </c>
    </row>
    <row r="40" spans="3:15">
      <c r="O40" s="33"/>
    </row>
    <row r="41" spans="3:15">
      <c r="C41" s="1585" t="s">
        <v>1415</v>
      </c>
      <c r="D41" s="1518"/>
      <c r="E41" s="1518"/>
      <c r="F41" s="1518"/>
      <c r="G41" s="1518"/>
      <c r="H41" s="1518"/>
      <c r="I41" s="1518"/>
      <c r="J41" s="1518"/>
      <c r="K41" s="1518"/>
      <c r="L41" s="1518"/>
      <c r="M41" s="1518"/>
      <c r="N41" s="1518"/>
      <c r="O41" s="1518"/>
    </row>
    <row r="42" spans="3:15">
      <c r="C42" s="1518"/>
      <c r="D42" s="1518"/>
      <c r="E42" s="1518"/>
      <c r="F42" s="1518"/>
      <c r="G42" s="1518"/>
      <c r="H42" s="1518"/>
      <c r="I42" s="1518"/>
      <c r="J42" s="1518"/>
      <c r="K42" s="1518"/>
      <c r="L42" s="1518"/>
      <c r="M42" s="1518"/>
      <c r="N42" s="1518"/>
      <c r="O42" s="1518"/>
    </row>
    <row r="43" spans="3:15">
      <c r="C43" s="1518"/>
      <c r="D43" s="1518"/>
      <c r="E43" s="1518"/>
      <c r="F43" s="1518"/>
      <c r="G43" s="1518"/>
      <c r="H43" s="1518"/>
      <c r="I43" s="1518"/>
      <c r="J43" s="1518"/>
      <c r="K43" s="1518"/>
      <c r="L43" s="1518"/>
      <c r="M43" s="1518"/>
      <c r="N43" s="1518"/>
      <c r="O43" s="1518"/>
    </row>
    <row r="44" spans="3:15">
      <c r="O44" s="33"/>
    </row>
    <row r="45" spans="3:15">
      <c r="C45" s="1585" t="s">
        <v>1416</v>
      </c>
      <c r="D45" s="1518"/>
      <c r="E45" s="1518"/>
      <c r="F45" s="1518"/>
      <c r="G45" s="1518"/>
      <c r="H45" s="1518"/>
      <c r="I45" s="1518"/>
      <c r="J45" s="1518"/>
      <c r="K45" s="1518"/>
      <c r="L45" s="1518"/>
      <c r="M45" s="1518"/>
      <c r="N45" s="1518"/>
      <c r="O45" s="1518"/>
    </row>
    <row r="46" spans="3:15">
      <c r="C46" s="1585"/>
      <c r="D46" s="1518"/>
      <c r="E46" s="1518"/>
      <c r="F46" s="1518"/>
      <c r="G46" s="1518"/>
      <c r="H46" s="1518"/>
      <c r="I46" s="1518"/>
      <c r="J46" s="1518"/>
      <c r="K46" s="1518"/>
      <c r="L46" s="1518"/>
      <c r="M46" s="1518"/>
      <c r="N46" s="1518"/>
      <c r="O46" s="1518"/>
    </row>
    <row r="47" spans="3:15">
      <c r="C47" s="1518"/>
      <c r="D47" s="1518"/>
      <c r="E47" s="1518"/>
      <c r="F47" s="1518"/>
      <c r="G47" s="1518"/>
      <c r="H47" s="1518"/>
      <c r="I47" s="1518"/>
      <c r="J47" s="1518"/>
      <c r="K47" s="1518"/>
      <c r="L47" s="1518"/>
      <c r="M47" s="1518"/>
      <c r="N47" s="1518"/>
      <c r="O47" s="1518"/>
    </row>
    <row r="48" spans="3:15">
      <c r="O48" s="33"/>
    </row>
    <row r="49" spans="3:15">
      <c r="C49" s="1585" t="s">
        <v>1417</v>
      </c>
      <c r="D49" s="1518"/>
      <c r="E49" s="1518"/>
      <c r="F49" s="1518"/>
      <c r="G49" s="1518"/>
      <c r="H49" s="1518"/>
      <c r="I49" s="1518"/>
      <c r="J49" s="1518"/>
      <c r="K49" s="1518"/>
      <c r="L49" s="1518"/>
      <c r="M49" s="1518"/>
      <c r="N49" s="1518"/>
      <c r="O49" s="1518"/>
    </row>
    <row r="50" spans="3:15" ht="13.5" customHeight="1" thickBot="1">
      <c r="M50" s="1308"/>
      <c r="N50" s="100"/>
      <c r="O50" s="100"/>
    </row>
    <row r="51" spans="3:15" ht="13.5" customHeight="1" thickTop="1">
      <c r="C51" s="1700" t="s">
        <v>648</v>
      </c>
      <c r="D51" s="1468"/>
      <c r="E51" s="1468"/>
      <c r="F51" s="1468"/>
      <c r="G51" s="1468"/>
      <c r="H51" s="1468"/>
      <c r="I51" s="80"/>
      <c r="M51" s="1521" t="str">
        <f ca="1">OFFSET(ad_first,OFFSET(ads_top,ROW(ads_Combine_3)-1,2),0)</f>
        <v>Review how financial statements can be modelled in spreadsheets - attend one of our workshops</v>
      </c>
      <c r="N51" s="1507"/>
      <c r="O51" s="1508"/>
    </row>
    <row r="52" spans="3:15">
      <c r="C52" s="1700" t="s">
        <v>649</v>
      </c>
      <c r="D52" s="1468"/>
      <c r="E52" s="1468"/>
      <c r="F52" s="1468"/>
      <c r="G52" s="1468"/>
      <c r="H52" s="1468"/>
      <c r="I52" s="80"/>
      <c r="M52" s="1509"/>
      <c r="N52" s="1510"/>
      <c r="O52" s="1511"/>
    </row>
    <row r="53" spans="3:15">
      <c r="E53" s="80"/>
      <c r="F53" s="450"/>
      <c r="G53" s="80"/>
      <c r="H53" s="80"/>
      <c r="I53" s="80"/>
      <c r="M53" s="1509"/>
      <c r="N53" s="1510"/>
      <c r="O53" s="1511"/>
    </row>
    <row r="54" spans="3:15" ht="13">
      <c r="C54" s="772" t="s">
        <v>1419</v>
      </c>
      <c r="E54" s="80"/>
      <c r="F54" s="450"/>
      <c r="G54" s="80"/>
      <c r="H54" s="80"/>
      <c r="I54" s="80"/>
      <c r="M54" s="1509"/>
      <c r="N54" s="1510"/>
      <c r="O54" s="1511"/>
    </row>
    <row r="55" spans="3:15" ht="13" thickBot="1">
      <c r="C55" s="1585" t="s">
        <v>1420</v>
      </c>
      <c r="D55" s="1518"/>
      <c r="E55" s="1518"/>
      <c r="F55" s="1518"/>
      <c r="G55" s="1518"/>
      <c r="H55" s="1518"/>
      <c r="I55" s="1518"/>
      <c r="J55" s="1518"/>
      <c r="K55" s="1518"/>
      <c r="L55" s="1518"/>
      <c r="M55" s="1512"/>
      <c r="N55" s="1513"/>
      <c r="O55" s="1514"/>
    </row>
    <row r="56" spans="3:15" ht="13" thickTop="1">
      <c r="C56" s="1518"/>
      <c r="D56" s="1518"/>
      <c r="E56" s="1518"/>
      <c r="F56" s="1518"/>
      <c r="G56" s="1518"/>
      <c r="H56" s="1518"/>
      <c r="I56" s="1518"/>
      <c r="J56" s="1518"/>
      <c r="K56" s="1518"/>
      <c r="L56" s="1518"/>
      <c r="M56" s="1310"/>
      <c r="N56" s="1311"/>
      <c r="O56" s="1311"/>
    </row>
    <row r="57" spans="3:15">
      <c r="E57" s="80"/>
      <c r="F57" s="450"/>
      <c r="G57" s="80"/>
      <c r="H57" s="80"/>
      <c r="I57" s="80"/>
      <c r="O57" s="33"/>
    </row>
    <row r="58" spans="3:15">
      <c r="C58" s="1585" t="s">
        <v>875</v>
      </c>
      <c r="D58" s="1518"/>
      <c r="E58" s="1518"/>
      <c r="F58" s="1518"/>
      <c r="G58" s="1518"/>
      <c r="H58" s="1518"/>
      <c r="I58" s="1518"/>
      <c r="J58" s="1518"/>
      <c r="K58" s="1518"/>
      <c r="L58" s="1518"/>
      <c r="M58" s="1518"/>
      <c r="N58" s="1518"/>
      <c r="O58" s="1518"/>
    </row>
    <row r="59" spans="3:15">
      <c r="C59" s="1518"/>
      <c r="D59" s="1518"/>
      <c r="E59" s="1518"/>
      <c r="F59" s="1518"/>
      <c r="G59" s="1518"/>
      <c r="H59" s="1518"/>
      <c r="I59" s="1518"/>
      <c r="J59" s="1518"/>
      <c r="K59" s="1518"/>
      <c r="L59" s="1518"/>
      <c r="M59" s="1518"/>
      <c r="N59" s="1518"/>
      <c r="O59" s="1518"/>
    </row>
    <row r="60" spans="3:15">
      <c r="E60" s="80"/>
      <c r="F60" s="450"/>
      <c r="G60" s="80"/>
      <c r="H60" s="80"/>
      <c r="I60" s="80"/>
      <c r="O60" s="33"/>
    </row>
    <row r="61" spans="3:15">
      <c r="C61" s="1585" t="s">
        <v>876</v>
      </c>
      <c r="D61" s="1518"/>
      <c r="E61" s="1518"/>
      <c r="F61" s="1518"/>
      <c r="G61" s="1518"/>
      <c r="H61" s="1518"/>
      <c r="I61" s="1518"/>
      <c r="J61" s="1518"/>
      <c r="K61" s="1518"/>
      <c r="L61" s="1518"/>
      <c r="M61" s="1518"/>
      <c r="N61" s="1518"/>
      <c r="O61" s="1518"/>
    </row>
    <row r="62" spans="3:15">
      <c r="C62" s="1518"/>
      <c r="D62" s="1518"/>
      <c r="E62" s="1518"/>
      <c r="F62" s="1518"/>
      <c r="G62" s="1518"/>
      <c r="H62" s="1518"/>
      <c r="I62" s="1518"/>
      <c r="J62" s="1518"/>
      <c r="K62" s="1518"/>
      <c r="L62" s="1518"/>
      <c r="M62" s="1518"/>
      <c r="N62" s="1518"/>
      <c r="O62" s="1518"/>
    </row>
    <row r="63" spans="3:15">
      <c r="E63" s="80"/>
      <c r="F63" s="450"/>
      <c r="G63" s="80"/>
      <c r="H63" s="80"/>
      <c r="I63" s="80"/>
      <c r="O63" s="33"/>
    </row>
    <row r="64" spans="3:15" ht="13" thickBot="1">
      <c r="C64" s="857"/>
      <c r="D64" s="857" t="s">
        <v>1363</v>
      </c>
      <c r="E64" s="1262" t="s">
        <v>1364</v>
      </c>
      <c r="F64" s="1292" t="s">
        <v>1473</v>
      </c>
      <c r="G64" s="1254" t="s">
        <v>1474</v>
      </c>
      <c r="H64" s="1254" t="s">
        <v>1475</v>
      </c>
      <c r="I64" s="1254" t="s">
        <v>1476</v>
      </c>
      <c r="J64" s="857" t="s">
        <v>497</v>
      </c>
      <c r="K64" s="857" t="s">
        <v>1511</v>
      </c>
      <c r="L64" s="857" t="s">
        <v>1512</v>
      </c>
      <c r="M64" s="948" t="s">
        <v>1513</v>
      </c>
      <c r="N64" s="948" t="s">
        <v>1514</v>
      </c>
      <c r="O64" s="948" t="s">
        <v>1515</v>
      </c>
    </row>
    <row r="65" spans="3:15" ht="13" thickBot="1">
      <c r="C65" s="857">
        <v>1</v>
      </c>
      <c r="D65" s="1255" t="s">
        <v>880</v>
      </c>
      <c r="E65" s="1352" t="s">
        <v>1378</v>
      </c>
      <c r="F65" s="809"/>
      <c r="G65" s="1143"/>
      <c r="H65" s="1143"/>
      <c r="I65" s="1143"/>
      <c r="J65" s="791"/>
      <c r="K65" s="791"/>
      <c r="L65" s="1300"/>
      <c r="M65" s="1302">
        <v>2007</v>
      </c>
      <c r="N65" s="1303">
        <f>M65+1</f>
        <v>2008</v>
      </c>
      <c r="O65" s="1304">
        <f>N65+1</f>
        <v>2009</v>
      </c>
    </row>
    <row r="66" spans="3:15" ht="13" thickBot="1">
      <c r="C66" s="857">
        <v>2</v>
      </c>
      <c r="D66" s="1143"/>
      <c r="E66" s="957"/>
      <c r="F66" s="1345"/>
      <c r="G66" s="1143"/>
      <c r="H66" s="1143"/>
      <c r="I66" s="1143"/>
      <c r="J66" s="791"/>
      <c r="K66" s="1018"/>
      <c r="L66" s="1296"/>
      <c r="M66" s="1301"/>
      <c r="N66" s="1295"/>
      <c r="O66" s="1295"/>
    </row>
    <row r="67" spans="3:15" ht="13" thickBot="1">
      <c r="C67" s="857">
        <v>3</v>
      </c>
      <c r="D67" s="1255" t="s">
        <v>641</v>
      </c>
      <c r="E67" s="1353">
        <v>2008</v>
      </c>
      <c r="F67" s="809"/>
      <c r="G67" s="1143"/>
      <c r="H67" s="1143"/>
      <c r="I67" s="1143"/>
      <c r="J67" s="791"/>
      <c r="K67" s="1018"/>
      <c r="L67" s="1297" t="s">
        <v>1371</v>
      </c>
      <c r="M67" s="1293">
        <v>65</v>
      </c>
      <c r="N67" s="1253">
        <v>55</v>
      </c>
      <c r="O67" s="1253">
        <v>4</v>
      </c>
    </row>
    <row r="68" spans="3:15">
      <c r="C68" s="857">
        <v>4</v>
      </c>
      <c r="D68" s="1143"/>
      <c r="E68" s="1257"/>
      <c r="F68" s="1253"/>
      <c r="G68" s="1143"/>
      <c r="H68" s="1143"/>
      <c r="I68" s="1143"/>
      <c r="J68" s="791"/>
      <c r="K68" s="1018"/>
      <c r="L68" s="1298" t="s">
        <v>1372</v>
      </c>
      <c r="M68" s="1293">
        <v>22</v>
      </c>
      <c r="N68" s="1253">
        <v>18</v>
      </c>
      <c r="O68" s="1253">
        <v>69</v>
      </c>
    </row>
    <row r="69" spans="3:15">
      <c r="C69" s="857">
        <v>5</v>
      </c>
      <c r="D69" s="791"/>
      <c r="E69" s="791"/>
      <c r="F69" s="791"/>
      <c r="G69" s="1143"/>
      <c r="H69" s="1143"/>
      <c r="I69" s="1143"/>
      <c r="J69" s="791"/>
      <c r="K69" s="1018"/>
      <c r="L69" s="1298" t="s">
        <v>1373</v>
      </c>
      <c r="M69" s="1293">
        <v>48</v>
      </c>
      <c r="N69" s="1253">
        <v>6</v>
      </c>
      <c r="O69" s="1253">
        <v>93</v>
      </c>
    </row>
    <row r="70" spans="3:15">
      <c r="C70" s="857">
        <v>6</v>
      </c>
      <c r="D70" s="791"/>
      <c r="E70" s="1143"/>
      <c r="F70" s="1143"/>
      <c r="G70" s="1143"/>
      <c r="H70" s="1143"/>
      <c r="I70" s="1143"/>
      <c r="J70" s="791"/>
      <c r="K70" s="1018"/>
      <c r="L70" s="1298" t="s">
        <v>1374</v>
      </c>
      <c r="M70" s="1293">
        <v>17</v>
      </c>
      <c r="N70" s="1253">
        <v>13</v>
      </c>
      <c r="O70" s="1253">
        <v>38</v>
      </c>
    </row>
    <row r="71" spans="3:15">
      <c r="C71" s="857">
        <v>7</v>
      </c>
      <c r="D71" s="791"/>
      <c r="E71" s="791"/>
      <c r="F71" s="791"/>
      <c r="G71" s="791"/>
      <c r="H71" s="791"/>
      <c r="I71" s="791"/>
      <c r="J71" s="791"/>
      <c r="K71" s="1018"/>
      <c r="L71" s="1298" t="s">
        <v>1375</v>
      </c>
      <c r="M71" s="1293">
        <v>70</v>
      </c>
      <c r="N71" s="1253">
        <v>54</v>
      </c>
      <c r="O71" s="1253">
        <v>80</v>
      </c>
    </row>
    <row r="72" spans="3:15">
      <c r="C72" s="857">
        <v>8</v>
      </c>
      <c r="D72" s="791"/>
      <c r="E72" s="791"/>
      <c r="F72" s="791"/>
      <c r="G72" s="791"/>
      <c r="H72" s="791"/>
      <c r="I72" s="791"/>
      <c r="J72" s="791"/>
      <c r="K72" s="1018"/>
      <c r="L72" s="1298" t="s">
        <v>1376</v>
      </c>
      <c r="M72" s="1293">
        <v>33</v>
      </c>
      <c r="N72" s="1253">
        <v>76</v>
      </c>
      <c r="O72" s="1253">
        <v>84</v>
      </c>
    </row>
    <row r="73" spans="3:15">
      <c r="C73" s="857">
        <v>9</v>
      </c>
      <c r="D73" s="1143" t="s">
        <v>643</v>
      </c>
      <c r="E73" s="1143">
        <f ca="1">OFFSET(L66,MATCH(E65,L67:L78,0),MATCH(E67,M65:O65,0))</f>
        <v>29</v>
      </c>
      <c r="F73" s="1294" t="s">
        <v>647</v>
      </c>
      <c r="G73" s="791"/>
      <c r="H73" s="791"/>
      <c r="I73" s="791"/>
      <c r="J73" s="791"/>
      <c r="K73" s="1018"/>
      <c r="L73" s="1298" t="s">
        <v>1377</v>
      </c>
      <c r="M73" s="1293">
        <v>68</v>
      </c>
      <c r="N73" s="1253">
        <v>34</v>
      </c>
      <c r="O73" s="1253">
        <v>30</v>
      </c>
    </row>
    <row r="74" spans="3:15">
      <c r="C74" s="857">
        <v>10</v>
      </c>
      <c r="D74" s="791"/>
      <c r="E74" s="791"/>
      <c r="F74" s="791"/>
      <c r="G74" s="791"/>
      <c r="H74" s="791"/>
      <c r="I74" s="791"/>
      <c r="J74" s="791"/>
      <c r="K74" s="1018"/>
      <c r="L74" s="1298" t="s">
        <v>1378</v>
      </c>
      <c r="M74" s="1293">
        <v>91</v>
      </c>
      <c r="N74" s="1253">
        <v>29</v>
      </c>
      <c r="O74" s="1253">
        <v>46</v>
      </c>
    </row>
    <row r="75" spans="3:15" ht="13">
      <c r="C75" s="857">
        <v>11</v>
      </c>
      <c r="D75" s="1305" t="s">
        <v>1402</v>
      </c>
      <c r="E75" s="1305"/>
      <c r="F75" s="1305"/>
      <c r="G75" s="1305"/>
      <c r="H75" s="791"/>
      <c r="I75" s="791"/>
      <c r="J75" s="791"/>
      <c r="K75" s="1018"/>
      <c r="L75" s="1298" t="s">
        <v>1379</v>
      </c>
      <c r="M75" s="1293">
        <v>1</v>
      </c>
      <c r="N75" s="1253">
        <v>71</v>
      </c>
      <c r="O75" s="1253">
        <v>87</v>
      </c>
    </row>
    <row r="76" spans="3:15" ht="13">
      <c r="C76" s="857">
        <v>12</v>
      </c>
      <c r="D76" s="1305"/>
      <c r="E76" s="1305"/>
      <c r="F76" s="1305"/>
      <c r="G76" s="1305"/>
      <c r="H76" s="791"/>
      <c r="I76" s="791"/>
      <c r="J76" s="791"/>
      <c r="K76" s="1018"/>
      <c r="L76" s="1298" t="s">
        <v>1380</v>
      </c>
      <c r="M76" s="1293">
        <v>41</v>
      </c>
      <c r="N76" s="1253">
        <v>38</v>
      </c>
      <c r="O76" s="1253">
        <v>9</v>
      </c>
    </row>
    <row r="77" spans="3:15" ht="13">
      <c r="C77" s="857">
        <v>13</v>
      </c>
      <c r="D77" s="1305" t="s">
        <v>1403</v>
      </c>
      <c r="E77" s="1305"/>
      <c r="F77" s="1305">
        <f>MATCH(E65,L67:L78,0)</f>
        <v>8</v>
      </c>
      <c r="G77" s="1306" t="s">
        <v>1405</v>
      </c>
      <c r="H77" s="791"/>
      <c r="I77" s="791"/>
      <c r="J77" s="791"/>
      <c r="K77" s="1018"/>
      <c r="L77" s="1298" t="s">
        <v>1381</v>
      </c>
      <c r="M77" s="1293">
        <v>54</v>
      </c>
      <c r="N77" s="1253">
        <v>65</v>
      </c>
      <c r="O77" s="1253">
        <v>20</v>
      </c>
    </row>
    <row r="78" spans="3:15" ht="13.5" thickBot="1">
      <c r="C78" s="857">
        <v>14</v>
      </c>
      <c r="D78" s="1305" t="s">
        <v>1404</v>
      </c>
      <c r="E78" s="1305"/>
      <c r="F78" s="1305">
        <f>MATCH(E67,M65:O65,0)</f>
        <v>2</v>
      </c>
      <c r="G78" s="1306" t="s">
        <v>1406</v>
      </c>
      <c r="H78" s="791"/>
      <c r="I78" s="791"/>
      <c r="J78" s="791"/>
      <c r="K78" s="1018"/>
      <c r="L78" s="1299" t="s">
        <v>1382</v>
      </c>
      <c r="M78" s="1293">
        <v>65</v>
      </c>
      <c r="N78" s="1253">
        <v>34</v>
      </c>
      <c r="O78" s="1253">
        <v>70</v>
      </c>
    </row>
    <row r="79" spans="3:15"/>
    <row r="80" spans="3:15">
      <c r="C80" s="1700" t="s">
        <v>650</v>
      </c>
      <c r="D80" s="1700"/>
      <c r="E80" s="1700"/>
      <c r="F80" s="1700"/>
      <c r="G80" s="1700"/>
      <c r="H80" s="1700"/>
    </row>
    <row r="81" spans="3:15"/>
    <row r="82" spans="3:15">
      <c r="C82" s="1697" t="str">
        <f>back_to_index</f>
        <v>Back to contents</v>
      </c>
      <c r="D82" s="1697"/>
      <c r="G82" s="1530" t="str">
        <f>page_prefix &amp; page_Combine_3&amp; page_suffix</f>
        <v>- Page 40 -</v>
      </c>
      <c r="H82" s="1530"/>
      <c r="I82" s="1530"/>
      <c r="J82" s="1481"/>
      <c r="K82" s="1481"/>
      <c r="N82" s="1640" t="str">
        <f>back_to_top</f>
        <v>Back to top</v>
      </c>
      <c r="O82" s="1640"/>
    </row>
    <row r="83" spans="3:15">
      <c r="G83" s="1530" t="str">
        <f>copyright</f>
        <v>Copyright (c) 2009 Tykoh Group Pty Limited</v>
      </c>
      <c r="H83" s="1530"/>
      <c r="I83" s="1530"/>
      <c r="J83" s="1481"/>
      <c r="K83" s="1481"/>
    </row>
    <row r="84" spans="3:15">
      <c r="G84" s="1452" t="str">
        <f>home_address</f>
        <v>www.tykoh.com</v>
      </c>
      <c r="H84" s="1452"/>
      <c r="I84" s="1452"/>
      <c r="J84" s="1452"/>
      <c r="K84" s="1452"/>
    </row>
    <row r="85" spans="3:15"/>
  </sheetData>
  <sheetProtection algorithmName="SHA-512" hashValue="vp5ktBPSRYe4r86UwCSQzZzkBNRR/RYJrbdjurUvSpmfdmr/jbirKzn4qUMiWa9y6rFq6wMOlGIcaE48Bq3FyQ==" saltValue="GXQ49x+w+MRGRK5ZPbCq9g==" spinCount="100000" sheet="1" objects="1" scenarios="1"/>
  <mergeCells count="22">
    <mergeCell ref="G84:K84"/>
    <mergeCell ref="M4:O8"/>
    <mergeCell ref="C82:D82"/>
    <mergeCell ref="G82:K82"/>
    <mergeCell ref="N82:O82"/>
    <mergeCell ref="G83:K83"/>
    <mergeCell ref="C4:L6"/>
    <mergeCell ref="C51:H51"/>
    <mergeCell ref="C52:H52"/>
    <mergeCell ref="C80:H80"/>
    <mergeCell ref="C61:O62"/>
    <mergeCell ref="C49:O49"/>
    <mergeCell ref="C55:L56"/>
    <mergeCell ref="C41:O43"/>
    <mergeCell ref="C45:O47"/>
    <mergeCell ref="C58:O59"/>
    <mergeCell ref="M51:O55"/>
    <mergeCell ref="C8:L10"/>
    <mergeCell ref="C11:O12"/>
    <mergeCell ref="C21:O23"/>
    <mergeCell ref="C15:O17"/>
    <mergeCell ref="C18:O19"/>
  </mergeCells>
  <phoneticPr fontId="2" type="noConversion"/>
  <conditionalFormatting sqref="L26:O26 L28:O39 L65">
    <cfRule type="expression" dxfId="28" priority="1" stopIfTrue="1">
      <formula>AND(L$26=$E$28,$L26&lt;&gt;$E$26)</formula>
    </cfRule>
    <cfRule type="expression" dxfId="27" priority="2" stopIfTrue="1">
      <formula>AND(L$26=$E$28,$L26=$E$26)</formula>
    </cfRule>
    <cfRule type="expression" dxfId="26" priority="3" stopIfTrue="1">
      <formula>AND($L26=$E$26,L$26&lt;&gt;$E$28)</formula>
    </cfRule>
  </conditionalFormatting>
  <conditionalFormatting sqref="M65:O65 L67:O78">
    <cfRule type="expression" dxfId="25" priority="4" stopIfTrue="1">
      <formula>AND(L$65=$E$67,$L65&lt;&gt;$E$65)</formula>
    </cfRule>
    <cfRule type="expression" dxfId="24" priority="5" stopIfTrue="1">
      <formula>AND(L$65=$E$67,$L65=$E$65)</formula>
    </cfRule>
    <cfRule type="expression" dxfId="23" priority="6" stopIfTrue="1">
      <formula>AND($L65=$E$65,L$65&lt;&gt;$E$67)</formula>
    </cfRule>
  </conditionalFormatting>
  <dataValidations count="2">
    <dataValidation type="list" allowBlank="1" showInputMessage="1" showErrorMessage="1" sqref="E67 E28" xr:uid="{00000000-0002-0000-3400-000000000000}">
      <formula1>$M$26:$O$26</formula1>
    </dataValidation>
    <dataValidation type="list" allowBlank="1" showInputMessage="1" showErrorMessage="1" sqref="E65 E26" xr:uid="{00000000-0002-0000-3400-000001000000}">
      <formula1>$L$28:$L$39</formula1>
    </dataValidation>
  </dataValidations>
  <hyperlinks>
    <hyperlink ref="C51:H51" location="hh_fn_VLOOKUP" display="[For more information on the VLOOKUP function click here]" xr:uid="{00000000-0004-0000-3400-000000000000}"/>
    <hyperlink ref="C52:H52" location="hh_fn_MATCH" display="[For more information on the MATCH function click here]" xr:uid="{00000000-0004-0000-3400-000001000000}"/>
    <hyperlink ref="C80:H80" location="hh_fn_OFFSET" display="[For more information on the OFFSET function click here]" xr:uid="{00000000-0004-0000-3400-000002000000}"/>
    <hyperlink ref="N82:O82" location="hh_Combine_3" display="hh_Combine_3" xr:uid="{00000000-0004-0000-3400-000003000000}"/>
    <hyperlink ref="C82:D82" location="hh_index" display="hh_index" xr:uid="{00000000-0004-0000-3400-000004000000}"/>
    <hyperlink ref="G84:K84" r:id="rId1" display="https://www.tykoh.com/" xr:uid="{00000000-0004-0000-3400-000005000000}"/>
  </hyperlinks>
  <pageMargins left="0.75" right="0.75" top="1" bottom="1" header="0.5" footer="0.5"/>
  <pageSetup scale="59" orientation="portrait" r:id="rId2"/>
  <headerFooter alignWithMargins="0"/>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0">
    <pageSetUpPr fitToPage="1"/>
  </sheetPr>
  <dimension ref="C1:O72"/>
  <sheetViews>
    <sheetView showGridLines="0" showRowColHeaders="0" topLeftCell="A61" workbookViewId="0">
      <selection activeCell="G71" sqref="G71:K71"/>
    </sheetView>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332</v>
      </c>
    </row>
    <row r="4" spans="3:15" ht="13" thickTop="1">
      <c r="M4" s="1663" t="str">
        <f ca="1">OFFSET(ad_first,OFFSET(ads_top,ROW(ads_Combine_4)-1,1),0)</f>
        <v>We can tailor courses to specific audiences - e.g. audiences with a derivatives focus.</v>
      </c>
      <c r="N4" s="1746"/>
      <c r="O4" s="1747"/>
    </row>
    <row r="5" spans="3:15">
      <c r="C5" s="1585" t="s">
        <v>333</v>
      </c>
      <c r="D5" s="1585"/>
      <c r="E5" s="1585"/>
      <c r="F5" s="1585"/>
      <c r="G5" s="1585"/>
      <c r="H5" s="1585"/>
      <c r="I5" s="1585"/>
      <c r="J5" s="1585"/>
      <c r="K5" s="1585"/>
      <c r="L5" s="1585"/>
      <c r="M5" s="1748"/>
      <c r="N5" s="1749"/>
      <c r="O5" s="1750"/>
    </row>
    <row r="6" spans="3:15">
      <c r="C6" s="1585"/>
      <c r="D6" s="1585"/>
      <c r="E6" s="1585"/>
      <c r="F6" s="1585"/>
      <c r="G6" s="1585"/>
      <c r="H6" s="1585"/>
      <c r="I6" s="1585"/>
      <c r="J6" s="1585"/>
      <c r="K6" s="1585"/>
      <c r="L6" s="1585"/>
      <c r="M6" s="1748"/>
      <c r="N6" s="1749"/>
      <c r="O6" s="1750"/>
    </row>
    <row r="7" spans="3:15">
      <c r="M7" s="1748"/>
      <c r="N7" s="1749"/>
      <c r="O7" s="1750"/>
    </row>
    <row r="8" spans="3:15" ht="13" thickBot="1">
      <c r="C8" s="1700" t="s">
        <v>933</v>
      </c>
      <c r="D8" s="1700"/>
      <c r="E8" s="1700"/>
      <c r="F8" s="1700"/>
      <c r="G8" s="1700"/>
      <c r="H8" s="1700"/>
      <c r="M8" s="1751"/>
      <c r="N8" s="1752"/>
      <c r="O8" s="1753"/>
    </row>
    <row r="9" spans="3:15" ht="13" thickTop="1">
      <c r="M9" s="1347"/>
      <c r="N9" s="1347"/>
      <c r="O9" s="1347"/>
    </row>
    <row r="10" spans="3:15" ht="13">
      <c r="C10" s="772" t="s">
        <v>334</v>
      </c>
      <c r="M10" s="1347"/>
      <c r="N10" s="1347"/>
      <c r="O10" s="1347"/>
    </row>
    <row r="11" spans="3:15">
      <c r="C11" s="1585" t="s">
        <v>335</v>
      </c>
      <c r="D11" s="1585"/>
      <c r="E11" s="1585"/>
      <c r="F11" s="1585"/>
      <c r="G11" s="1585"/>
      <c r="H11" s="1585"/>
      <c r="I11" s="1585"/>
      <c r="J11" s="1585"/>
      <c r="K11" s="1585"/>
      <c r="L11" s="1585"/>
      <c r="M11" s="776"/>
      <c r="N11" s="776"/>
      <c r="O11" s="776"/>
    </row>
    <row r="12" spans="3:15">
      <c r="C12" s="1585"/>
      <c r="D12" s="1585"/>
      <c r="E12" s="1585"/>
      <c r="F12" s="1585"/>
      <c r="G12" s="1585"/>
      <c r="H12" s="1585"/>
      <c r="I12" s="1585"/>
      <c r="J12" s="1585"/>
      <c r="K12" s="1585"/>
      <c r="L12" s="1585"/>
      <c r="M12" s="776"/>
      <c r="N12" s="776"/>
      <c r="O12" s="776"/>
    </row>
    <row r="13" spans="3:15"/>
    <row r="14" spans="3:15">
      <c r="C14" s="1585" t="s">
        <v>546</v>
      </c>
      <c r="D14" s="1585"/>
      <c r="E14" s="1585"/>
      <c r="F14" s="1585"/>
      <c r="G14" s="1585"/>
      <c r="H14" s="1585"/>
      <c r="I14" s="1585"/>
      <c r="J14" s="1585"/>
      <c r="K14" s="1585"/>
      <c r="L14" s="1585"/>
      <c r="M14" s="1585"/>
      <c r="N14" s="1585"/>
      <c r="O14" s="1585"/>
    </row>
    <row r="15" spans="3:15">
      <c r="C15" s="1585"/>
      <c r="D15" s="1585"/>
      <c r="E15" s="1585"/>
      <c r="F15" s="1585"/>
      <c r="G15" s="1585"/>
      <c r="H15" s="1585"/>
      <c r="I15" s="1585"/>
      <c r="J15" s="1585"/>
      <c r="K15" s="1585"/>
      <c r="L15" s="1585"/>
      <c r="M15" s="1585"/>
      <c r="N15" s="1585"/>
      <c r="O15" s="1585"/>
    </row>
    <row r="16" spans="3:15"/>
    <row r="17" spans="3:15">
      <c r="C17" s="1585" t="s">
        <v>547</v>
      </c>
      <c r="D17" s="1585"/>
      <c r="E17" s="1585"/>
      <c r="F17" s="1585"/>
      <c r="G17" s="1585"/>
      <c r="H17" s="1585"/>
      <c r="I17" s="1585"/>
      <c r="J17" s="1585"/>
      <c r="K17" s="1585"/>
      <c r="L17" s="1585"/>
      <c r="M17" s="1585"/>
      <c r="N17" s="1585"/>
      <c r="O17" s="1585"/>
    </row>
    <row r="18" spans="3:15">
      <c r="C18" s="1585"/>
      <c r="D18" s="1585"/>
      <c r="E18" s="1585"/>
      <c r="F18" s="1585"/>
      <c r="G18" s="1585"/>
      <c r="H18" s="1585"/>
      <c r="I18" s="1585"/>
      <c r="J18" s="1585"/>
      <c r="K18" s="1585"/>
      <c r="L18" s="1585"/>
      <c r="M18" s="1585"/>
      <c r="N18" s="1585"/>
      <c r="O18" s="1585"/>
    </row>
    <row r="19" spans="3:15">
      <c r="C19" s="1585"/>
      <c r="D19" s="1585"/>
      <c r="E19" s="1585"/>
      <c r="F19" s="1585"/>
      <c r="G19" s="1585"/>
      <c r="H19" s="1585"/>
      <c r="I19" s="1585"/>
      <c r="J19" s="1585"/>
      <c r="K19" s="1585"/>
      <c r="L19" s="1585"/>
      <c r="M19" s="1585"/>
      <c r="N19" s="1585"/>
      <c r="O19" s="1585"/>
    </row>
    <row r="20" spans="3:15" ht="13" thickBot="1"/>
    <row r="21" spans="3:15" ht="13" thickTop="1">
      <c r="C21" s="857"/>
      <c r="D21" s="857" t="s">
        <v>1363</v>
      </c>
      <c r="E21" s="857" t="s">
        <v>1364</v>
      </c>
      <c r="F21" s="857" t="s">
        <v>1473</v>
      </c>
      <c r="G21" s="857" t="s">
        <v>1474</v>
      </c>
      <c r="H21" s="857" t="s">
        <v>1475</v>
      </c>
      <c r="I21" s="857" t="s">
        <v>1476</v>
      </c>
      <c r="J21" s="857" t="s">
        <v>497</v>
      </c>
      <c r="K21" s="328"/>
      <c r="L21" s="328"/>
      <c r="M21" s="1545" t="str">
        <f ca="1">OFFSET(ad_first,OFFSET(ads_top,ROW(ads_Combine_4)-1,2),0)</f>
        <v>We can provide a mix of classroom, internet and self learning teaching.</v>
      </c>
      <c r="N21" s="1689"/>
      <c r="O21" s="1690"/>
    </row>
    <row r="22" spans="3:15" ht="12.75" customHeight="1">
      <c r="C22" s="857">
        <v>1</v>
      </c>
      <c r="D22" s="1743" t="s">
        <v>990</v>
      </c>
      <c r="E22" s="1729"/>
      <c r="F22" s="791"/>
      <c r="G22" s="1740" t="s">
        <v>991</v>
      </c>
      <c r="H22" s="1741"/>
      <c r="I22" s="791"/>
      <c r="J22" s="791"/>
      <c r="K22" s="1315"/>
      <c r="L22" s="1315"/>
      <c r="M22" s="1691"/>
      <c r="N22" s="1692"/>
      <c r="O22" s="1693"/>
    </row>
    <row r="23" spans="3:15" ht="13.5" thickBot="1">
      <c r="C23" s="857">
        <v>2</v>
      </c>
      <c r="D23" s="1382" t="s">
        <v>777</v>
      </c>
      <c r="E23" s="1305" t="s">
        <v>668</v>
      </c>
      <c r="F23" s="791"/>
      <c r="G23" s="1742"/>
      <c r="H23" s="1741"/>
      <c r="I23" s="791"/>
      <c r="J23" s="791"/>
      <c r="K23" s="1315"/>
      <c r="L23" s="1315"/>
      <c r="M23" s="1691"/>
      <c r="N23" s="1692"/>
      <c r="O23" s="1693"/>
    </row>
    <row r="24" spans="3:15" ht="13" thickBot="1">
      <c r="C24" s="949">
        <v>3</v>
      </c>
      <c r="D24" s="1016" t="s">
        <v>984</v>
      </c>
      <c r="E24" s="809">
        <v>27</v>
      </c>
      <c r="F24" s="1018"/>
      <c r="G24" s="1379">
        <f>COUNTIF($D$24:$D$28,D24)</f>
        <v>1</v>
      </c>
      <c r="H24" s="1027" t="s">
        <v>992</v>
      </c>
      <c r="I24" s="791"/>
      <c r="J24" s="791"/>
      <c r="K24" s="1315"/>
      <c r="L24" s="1315"/>
      <c r="M24" s="1691"/>
      <c r="N24" s="1692"/>
      <c r="O24" s="1693"/>
    </row>
    <row r="25" spans="3:15" ht="13" thickBot="1">
      <c r="C25" s="949">
        <v>4</v>
      </c>
      <c r="D25" s="1383" t="s">
        <v>985</v>
      </c>
      <c r="E25" s="809">
        <v>32</v>
      </c>
      <c r="F25" s="1018"/>
      <c r="G25" s="1384">
        <f>COUNTIF($D$24:$D$28,D25)</f>
        <v>2</v>
      </c>
      <c r="H25" s="1247" t="s">
        <v>1244</v>
      </c>
      <c r="I25" s="791"/>
      <c r="J25" s="791"/>
      <c r="K25" s="1315"/>
      <c r="L25" s="1315"/>
      <c r="M25" s="1694"/>
      <c r="N25" s="1695"/>
      <c r="O25" s="1696"/>
    </row>
    <row r="26" spans="3:15" ht="13" thickTop="1">
      <c r="C26" s="949">
        <v>5</v>
      </c>
      <c r="D26" s="1192" t="s">
        <v>986</v>
      </c>
      <c r="E26" s="809">
        <v>9</v>
      </c>
      <c r="F26" s="1018"/>
      <c r="G26" s="1384">
        <f>COUNTIF($D$24:$D$28,D26)</f>
        <v>1</v>
      </c>
      <c r="H26" s="1247" t="s">
        <v>1245</v>
      </c>
      <c r="I26" s="791"/>
      <c r="J26" s="791"/>
      <c r="K26" s="1315"/>
      <c r="L26" s="1315"/>
    </row>
    <row r="27" spans="3:15">
      <c r="C27" s="949">
        <v>6</v>
      </c>
      <c r="D27" s="1386" t="s">
        <v>985</v>
      </c>
      <c r="E27" s="809">
        <v>8</v>
      </c>
      <c r="F27" s="1018"/>
      <c r="G27" s="1384">
        <f>COUNTIF($D$24:$D$28,D27)</f>
        <v>2</v>
      </c>
      <c r="H27" s="1247" t="s">
        <v>1246</v>
      </c>
      <c r="I27" s="791"/>
      <c r="J27" s="791"/>
      <c r="K27" s="1315"/>
      <c r="L27" s="1315"/>
    </row>
    <row r="28" spans="3:15" ht="13" thickBot="1">
      <c r="C28" s="949">
        <v>7</v>
      </c>
      <c r="D28" s="1193" t="s">
        <v>987</v>
      </c>
      <c r="E28" s="809">
        <v>4</v>
      </c>
      <c r="F28" s="1018"/>
      <c r="G28" s="1385">
        <f>COUNTIF($D$24:$D$28,D28)</f>
        <v>1</v>
      </c>
      <c r="H28" s="1247" t="s">
        <v>1247</v>
      </c>
      <c r="I28" s="791"/>
      <c r="J28" s="791"/>
      <c r="K28" s="1315"/>
      <c r="L28" s="1315"/>
    </row>
    <row r="29" spans="3:15" ht="13" thickBot="1">
      <c r="C29" s="857">
        <v>8</v>
      </c>
      <c r="D29" s="963"/>
      <c r="E29" s="791"/>
      <c r="F29" s="958"/>
      <c r="G29" s="963"/>
      <c r="H29" s="1380"/>
      <c r="I29" s="791"/>
      <c r="J29" s="791"/>
      <c r="K29" s="1315"/>
      <c r="L29" s="1315"/>
    </row>
    <row r="30" spans="3:15" ht="13" thickBot="1">
      <c r="C30" s="857">
        <v>9</v>
      </c>
      <c r="D30" s="899" t="s">
        <v>988</v>
      </c>
      <c r="E30" s="1018"/>
      <c r="F30" s="1381">
        <f>MAX(G24:G28)</f>
        <v>2</v>
      </c>
      <c r="G30" s="1027" t="s">
        <v>1243</v>
      </c>
      <c r="H30" s="791"/>
      <c r="I30" s="791"/>
      <c r="J30" s="791"/>
      <c r="K30" s="1315"/>
      <c r="L30" s="1315"/>
    </row>
    <row r="31" spans="3:15">
      <c r="C31" s="857">
        <v>10</v>
      </c>
      <c r="D31" s="791"/>
      <c r="E31" s="791"/>
      <c r="F31" s="963"/>
      <c r="G31" s="791"/>
      <c r="H31" s="791"/>
      <c r="I31" s="791"/>
      <c r="J31" s="791"/>
      <c r="K31" s="1315"/>
      <c r="L31" s="1315"/>
    </row>
    <row r="32" spans="3:15">
      <c r="C32" s="857">
        <v>11</v>
      </c>
      <c r="D32" s="899" t="s">
        <v>989</v>
      </c>
      <c r="E32" s="1387"/>
      <c r="F32" s="1127" t="str">
        <f>IF(F30&gt;1,"Yes","No")</f>
        <v>Yes</v>
      </c>
      <c r="G32" s="900" t="s">
        <v>1242</v>
      </c>
      <c r="H32" s="791"/>
      <c r="I32" s="791"/>
      <c r="J32" s="791"/>
      <c r="K32" s="1315"/>
      <c r="L32" s="1315"/>
    </row>
    <row r="33" spans="3:15">
      <c r="C33" s="857">
        <v>12</v>
      </c>
      <c r="D33" s="791"/>
      <c r="E33" s="791"/>
      <c r="F33" s="791"/>
      <c r="G33" s="791"/>
      <c r="H33" s="791"/>
      <c r="I33" s="791"/>
      <c r="J33" s="791"/>
    </row>
    <row r="34" spans="3:15"/>
    <row r="35" spans="3:15">
      <c r="C35" s="1585" t="s">
        <v>548</v>
      </c>
      <c r="D35" s="1585"/>
      <c r="E35" s="1585"/>
      <c r="F35" s="1585"/>
      <c r="G35" s="1585"/>
      <c r="H35" s="1585"/>
      <c r="I35" s="1585"/>
      <c r="J35" s="1585"/>
      <c r="K35" s="1585"/>
      <c r="L35" s="1585"/>
      <c r="M35" s="1585"/>
      <c r="N35" s="1585"/>
      <c r="O35" s="1585"/>
    </row>
    <row r="36" spans="3:15"/>
    <row r="37" spans="3:15" ht="13">
      <c r="C37" s="772" t="s">
        <v>549</v>
      </c>
    </row>
    <row r="38" spans="3:15">
      <c r="C38" s="1585" t="s">
        <v>550</v>
      </c>
      <c r="D38" s="1585"/>
      <c r="E38" s="1585"/>
      <c r="F38" s="1585"/>
      <c r="G38" s="1585"/>
      <c r="H38" s="1585"/>
      <c r="I38" s="1585"/>
      <c r="J38" s="1585"/>
      <c r="K38" s="1585"/>
      <c r="L38" s="1585"/>
      <c r="M38" s="1585"/>
      <c r="N38" s="1585"/>
      <c r="O38" s="1585"/>
    </row>
    <row r="39" spans="3:15">
      <c r="C39" s="1585"/>
      <c r="D39" s="1585"/>
      <c r="E39" s="1585"/>
      <c r="F39" s="1585"/>
      <c r="G39" s="1585"/>
      <c r="H39" s="1585"/>
      <c r="I39" s="1585"/>
      <c r="J39" s="1585"/>
      <c r="K39" s="1585"/>
      <c r="L39" s="1585"/>
      <c r="M39" s="1585"/>
      <c r="N39" s="1585"/>
      <c r="O39" s="1585"/>
    </row>
    <row r="40" spans="3:15"/>
    <row r="41" spans="3:15">
      <c r="C41" s="1585" t="s">
        <v>551</v>
      </c>
      <c r="D41" s="1585"/>
      <c r="E41" s="1585"/>
      <c r="F41" s="1585"/>
      <c r="G41" s="1585"/>
      <c r="H41" s="1585"/>
      <c r="I41" s="1585"/>
      <c r="J41" s="1585"/>
      <c r="K41" s="1585"/>
      <c r="L41" s="1585"/>
      <c r="M41" s="1585"/>
      <c r="N41" s="1585"/>
      <c r="O41" s="1585"/>
    </row>
    <row r="42" spans="3:15">
      <c r="C42" s="1585"/>
      <c r="D42" s="1585"/>
      <c r="E42" s="1585"/>
      <c r="F42" s="1585"/>
      <c r="G42" s="1585"/>
      <c r="H42" s="1585"/>
      <c r="I42" s="1585"/>
      <c r="J42" s="1585"/>
      <c r="K42" s="1585"/>
      <c r="L42" s="1585"/>
      <c r="M42" s="1585"/>
      <c r="N42" s="1585"/>
      <c r="O42" s="1585"/>
    </row>
    <row r="43" spans="3:15"/>
    <row r="44" spans="3:15">
      <c r="C44" s="1585" t="s">
        <v>1630</v>
      </c>
      <c r="D44" s="1585"/>
      <c r="E44" s="1585"/>
      <c r="F44" s="1585"/>
      <c r="G44" s="1585"/>
      <c r="H44" s="1585"/>
      <c r="I44" s="1585"/>
      <c r="J44" s="1585"/>
      <c r="K44" s="1585"/>
      <c r="L44" s="1585"/>
      <c r="M44" s="1585"/>
      <c r="N44" s="1585"/>
      <c r="O44" s="1585"/>
    </row>
    <row r="45" spans="3:15"/>
    <row r="46" spans="3:15">
      <c r="C46" s="857"/>
      <c r="D46" s="857" t="s">
        <v>1363</v>
      </c>
      <c r="E46" s="857" t="s">
        <v>1364</v>
      </c>
      <c r="F46" s="857" t="s">
        <v>1473</v>
      </c>
      <c r="G46" s="857" t="s">
        <v>1474</v>
      </c>
      <c r="H46" s="857" t="s">
        <v>1475</v>
      </c>
      <c r="I46" s="857" t="s">
        <v>1476</v>
      </c>
      <c r="J46" s="857" t="s">
        <v>497</v>
      </c>
      <c r="K46" s="857" t="s">
        <v>1511</v>
      </c>
      <c r="L46" s="857" t="s">
        <v>1512</v>
      </c>
      <c r="M46" s="857" t="s">
        <v>1513</v>
      </c>
      <c r="N46" s="328"/>
    </row>
    <row r="47" spans="3:15" ht="13" thickBot="1">
      <c r="C47" s="857">
        <v>1</v>
      </c>
      <c r="D47" s="791"/>
      <c r="E47" s="791"/>
      <c r="F47" s="791"/>
      <c r="G47" s="791"/>
      <c r="H47" s="791"/>
      <c r="I47" s="791"/>
      <c r="J47" s="791"/>
      <c r="K47" s="958"/>
      <c r="L47" s="791"/>
      <c r="M47" s="791"/>
      <c r="N47" s="1315"/>
    </row>
    <row r="48" spans="3:15" ht="13" thickBot="1">
      <c r="C48" s="857">
        <v>2</v>
      </c>
      <c r="D48" s="791" t="s">
        <v>324</v>
      </c>
      <c r="E48" s="791"/>
      <c r="F48" s="789">
        <v>2005</v>
      </c>
      <c r="G48" s="789">
        <v>2006</v>
      </c>
      <c r="H48" s="789">
        <v>2007</v>
      </c>
      <c r="I48" s="789">
        <v>2008</v>
      </c>
      <c r="J48" s="793">
        <v>2009</v>
      </c>
      <c r="K48" s="1063">
        <v>2010</v>
      </c>
      <c r="L48" s="809"/>
      <c r="M48" s="791"/>
      <c r="N48" s="1315"/>
    </row>
    <row r="49" spans="3:15" ht="13" thickBot="1">
      <c r="C49" s="857">
        <v>3</v>
      </c>
      <c r="D49" s="791"/>
      <c r="E49" s="791"/>
      <c r="F49" s="789"/>
      <c r="G49" s="789"/>
      <c r="H49" s="789"/>
      <c r="I49" s="789"/>
      <c r="J49" s="789"/>
      <c r="K49" s="795"/>
      <c r="L49" s="791"/>
      <c r="M49" s="791"/>
      <c r="N49" s="1315"/>
    </row>
    <row r="50" spans="3:15" ht="13" thickBot="1">
      <c r="C50" s="857">
        <v>4</v>
      </c>
      <c r="D50" s="791" t="s">
        <v>325</v>
      </c>
      <c r="E50" s="791"/>
      <c r="F50" s="789">
        <v>-32</v>
      </c>
      <c r="G50" s="944">
        <v>-6</v>
      </c>
      <c r="H50" s="789">
        <v>15</v>
      </c>
      <c r="I50" s="791">
        <v>20</v>
      </c>
      <c r="J50" s="793">
        <v>23</v>
      </c>
      <c r="K50" s="786">
        <v>45</v>
      </c>
      <c r="L50" s="809"/>
      <c r="M50" s="791"/>
      <c r="N50" s="1315"/>
    </row>
    <row r="51" spans="3:15">
      <c r="C51" s="857">
        <v>5</v>
      </c>
      <c r="D51" s="791"/>
      <c r="E51" s="791"/>
      <c r="F51" s="789"/>
      <c r="G51" s="789"/>
      <c r="H51" s="789"/>
      <c r="I51" s="789"/>
      <c r="J51" s="789"/>
      <c r="K51" s="790"/>
      <c r="L51" s="791"/>
      <c r="M51" s="791"/>
      <c r="N51" s="1315"/>
    </row>
    <row r="52" spans="3:15" ht="13" thickBot="1">
      <c r="C52" s="857">
        <v>6</v>
      </c>
      <c r="D52" s="791"/>
      <c r="E52" s="791"/>
      <c r="F52" s="789"/>
      <c r="G52" s="789"/>
      <c r="H52" s="789"/>
      <c r="I52" s="789"/>
      <c r="J52" s="806"/>
      <c r="K52" s="806"/>
      <c r="L52" s="791"/>
      <c r="M52" s="791"/>
      <c r="N52" s="1315"/>
    </row>
    <row r="53" spans="3:15" ht="13" thickBot="1">
      <c r="C53" s="857">
        <v>7</v>
      </c>
      <c r="D53" s="791" t="s">
        <v>326</v>
      </c>
      <c r="E53" s="791"/>
      <c r="F53" s="789">
        <f>C53+F50</f>
        <v>-25</v>
      </c>
      <c r="G53" s="789">
        <f>F53+G50</f>
        <v>-31</v>
      </c>
      <c r="H53" s="789">
        <f>G53+H50</f>
        <v>-16</v>
      </c>
      <c r="I53" s="793">
        <f>H53+I50</f>
        <v>4</v>
      </c>
      <c r="J53" s="1012">
        <f>I53+J50</f>
        <v>27</v>
      </c>
      <c r="K53" s="811">
        <f>J53+K50</f>
        <v>72</v>
      </c>
      <c r="L53" s="1027" t="s">
        <v>321</v>
      </c>
      <c r="M53" s="791"/>
      <c r="N53" s="1315"/>
    </row>
    <row r="54" spans="3:15" ht="13" thickBot="1">
      <c r="C54" s="857">
        <v>8</v>
      </c>
      <c r="D54" s="791"/>
      <c r="E54" s="791"/>
      <c r="F54" s="806"/>
      <c r="G54" s="806"/>
      <c r="H54" s="806"/>
      <c r="I54" s="806"/>
      <c r="J54" s="795"/>
      <c r="K54" s="957"/>
      <c r="L54" s="900"/>
      <c r="M54" s="791"/>
      <c r="N54" s="1315"/>
    </row>
    <row r="55" spans="3:15" ht="13" thickBot="1">
      <c r="C55" s="857">
        <v>9</v>
      </c>
      <c r="D55" s="1744" t="s">
        <v>327</v>
      </c>
      <c r="E55" s="1745"/>
      <c r="F55" s="1399" t="str">
        <f t="shared" ref="F55:K55" si="0">IF(F53&gt;0,F48,"NA")</f>
        <v>NA</v>
      </c>
      <c r="G55" s="1400" t="str">
        <f t="shared" si="0"/>
        <v>NA</v>
      </c>
      <c r="H55" s="1400" t="str">
        <f t="shared" si="0"/>
        <v>NA</v>
      </c>
      <c r="I55" s="1400">
        <f t="shared" si="0"/>
        <v>2008</v>
      </c>
      <c r="J55" s="1400">
        <f t="shared" si="0"/>
        <v>2009</v>
      </c>
      <c r="K55" s="1070">
        <f t="shared" si="0"/>
        <v>2010</v>
      </c>
      <c r="L55" s="1027" t="s">
        <v>322</v>
      </c>
      <c r="M55" s="791"/>
      <c r="N55" s="1315"/>
    </row>
    <row r="56" spans="3:15">
      <c r="C56" s="857">
        <v>10</v>
      </c>
      <c r="D56" s="1744"/>
      <c r="E56" s="1744"/>
      <c r="F56" s="790"/>
      <c r="G56" s="790"/>
      <c r="H56" s="790"/>
      <c r="I56" s="790"/>
      <c r="J56" s="790"/>
      <c r="K56" s="790"/>
      <c r="L56" s="791"/>
      <c r="M56" s="791"/>
      <c r="N56" s="1315"/>
    </row>
    <row r="57" spans="3:15">
      <c r="C57" s="857">
        <v>11</v>
      </c>
      <c r="D57" s="791"/>
      <c r="E57" s="791"/>
      <c r="F57" s="791"/>
      <c r="G57" s="791"/>
      <c r="H57" s="791"/>
      <c r="I57" s="789"/>
      <c r="J57" s="789"/>
      <c r="K57" s="789"/>
      <c r="L57" s="791"/>
      <c r="M57" s="791"/>
      <c r="N57" s="1315"/>
    </row>
    <row r="58" spans="3:15">
      <c r="C58" s="857">
        <v>12</v>
      </c>
      <c r="D58" s="791" t="s">
        <v>328</v>
      </c>
      <c r="E58" s="791"/>
      <c r="F58" s="796">
        <f>MIN(F55:K55)</f>
        <v>2008</v>
      </c>
      <c r="G58" s="900" t="s">
        <v>323</v>
      </c>
      <c r="H58" s="789"/>
      <c r="I58" s="791"/>
      <c r="J58" s="791"/>
      <c r="K58" s="791"/>
      <c r="L58" s="791"/>
      <c r="M58" s="791"/>
      <c r="N58" s="1315"/>
    </row>
    <row r="59" spans="3:15">
      <c r="C59" s="857">
        <v>13</v>
      </c>
      <c r="D59" s="791"/>
      <c r="E59" s="791"/>
      <c r="F59" s="791"/>
      <c r="G59" s="791"/>
      <c r="H59" s="791"/>
      <c r="I59" s="791"/>
      <c r="J59" s="791"/>
      <c r="K59" s="791"/>
      <c r="L59" s="791"/>
      <c r="M59" s="791"/>
    </row>
    <row r="60" spans="3:15"/>
    <row r="61" spans="3:15">
      <c r="C61" s="1585" t="s">
        <v>1631</v>
      </c>
      <c r="D61" s="1585"/>
      <c r="E61" s="1585"/>
      <c r="F61" s="1585"/>
      <c r="G61" s="1585"/>
      <c r="H61" s="1585"/>
      <c r="I61" s="1585"/>
      <c r="J61" s="1585"/>
      <c r="K61" s="1585"/>
      <c r="L61" s="1585"/>
      <c r="M61" s="1585"/>
      <c r="N61" s="1585"/>
      <c r="O61" s="1585"/>
    </row>
    <row r="62" spans="3:15">
      <c r="C62" s="1585"/>
      <c r="D62" s="1585"/>
      <c r="E62" s="1585"/>
      <c r="F62" s="1585"/>
      <c r="G62" s="1585"/>
      <c r="H62" s="1585"/>
      <c r="I62" s="1585"/>
      <c r="J62" s="1585"/>
      <c r="K62" s="1585"/>
      <c r="L62" s="1585"/>
      <c r="M62" s="1585"/>
      <c r="N62" s="1585"/>
      <c r="O62" s="1585"/>
    </row>
    <row r="63" spans="3:15">
      <c r="C63" s="1585"/>
      <c r="D63" s="1585"/>
      <c r="E63" s="1585"/>
      <c r="F63" s="1585"/>
      <c r="G63" s="1585"/>
      <c r="H63" s="1585"/>
      <c r="I63" s="1585"/>
      <c r="J63" s="1585"/>
      <c r="K63" s="1585"/>
      <c r="L63" s="1585"/>
      <c r="M63" s="1585"/>
      <c r="N63" s="1585"/>
      <c r="O63" s="1585"/>
    </row>
    <row r="64" spans="3:15">
      <c r="C64" s="1585" t="s">
        <v>1632</v>
      </c>
      <c r="D64" s="1585"/>
      <c r="E64" s="1585"/>
      <c r="F64" s="1585"/>
      <c r="G64" s="1585"/>
      <c r="H64" s="1585"/>
      <c r="I64" s="1585"/>
      <c r="J64" s="1585"/>
      <c r="K64" s="1585"/>
      <c r="L64" s="1585"/>
      <c r="M64" s="1585"/>
      <c r="N64" s="1585"/>
      <c r="O64" s="1585"/>
    </row>
    <row r="65" spans="3:15">
      <c r="C65" s="1585"/>
      <c r="D65" s="1585"/>
      <c r="E65" s="1585"/>
      <c r="F65" s="1585"/>
      <c r="G65" s="1585"/>
      <c r="H65" s="1585"/>
      <c r="I65" s="1585"/>
      <c r="J65" s="1585"/>
      <c r="K65" s="1585"/>
      <c r="L65" s="1585"/>
      <c r="M65" s="1585"/>
      <c r="N65" s="1585"/>
      <c r="O65" s="1585"/>
    </row>
    <row r="66" spans="3:15"/>
    <row r="67" spans="3:15">
      <c r="C67" s="1585" t="s">
        <v>1633</v>
      </c>
      <c r="D67" s="1585"/>
      <c r="E67" s="1585"/>
      <c r="F67" s="1585"/>
      <c r="G67" s="1585"/>
      <c r="H67" s="1585"/>
      <c r="I67" s="1585"/>
      <c r="J67" s="1585"/>
      <c r="K67" s="1585"/>
      <c r="L67" s="1585"/>
      <c r="M67" s="1585"/>
      <c r="N67" s="1585"/>
      <c r="O67" s="1585"/>
    </row>
    <row r="68" spans="3:15">
      <c r="C68" s="1585"/>
      <c r="D68" s="1585"/>
      <c r="E68" s="1585"/>
      <c r="F68" s="1585"/>
      <c r="G68" s="1585"/>
      <c r="H68" s="1585"/>
      <c r="I68" s="1585"/>
      <c r="J68" s="1585"/>
      <c r="K68" s="1585"/>
      <c r="L68" s="1585"/>
      <c r="M68" s="1585"/>
      <c r="N68" s="1585"/>
      <c r="O68" s="1585"/>
    </row>
    <row r="69" spans="3:15">
      <c r="C69" s="1697" t="str">
        <f>back_to_index</f>
        <v>Back to contents</v>
      </c>
      <c r="D69" s="1697"/>
      <c r="G69" s="1530" t="str">
        <f>page_prefix &amp; page_Combine_4&amp; page_suffix</f>
        <v>- Page 41 -</v>
      </c>
      <c r="H69" s="1530"/>
      <c r="I69" s="1530"/>
      <c r="J69" s="1481"/>
      <c r="K69" s="1481"/>
      <c r="N69" s="1640" t="str">
        <f>back_to_top</f>
        <v>Back to top</v>
      </c>
      <c r="O69" s="1640"/>
    </row>
    <row r="70" spans="3:15">
      <c r="G70" s="1530" t="str">
        <f>copyright</f>
        <v>Copyright (c) 2009 Tykoh Group Pty Limited</v>
      </c>
      <c r="H70" s="1530"/>
      <c r="I70" s="1530"/>
      <c r="J70" s="1481"/>
      <c r="K70" s="1481"/>
    </row>
    <row r="71" spans="3:15">
      <c r="G71" s="1452" t="str">
        <f>home_address</f>
        <v>www.tykoh.com</v>
      </c>
      <c r="H71" s="1452"/>
      <c r="I71" s="1452"/>
      <c r="J71" s="1452"/>
      <c r="K71" s="1452"/>
    </row>
    <row r="72" spans="3:15"/>
  </sheetData>
  <sheetProtection algorithmName="SHA-512" hashValue="SuNjnZNpqGb7dqbPdDs+DZhFc7z+R4M34RAbjZ5KfaJ5svFqaBo+2SF73ztF3PtU4zliP1FKgknfRf8tAFY5dA==" saltValue="lwJbJs5Y7Kc7BakBRXxtJw==" spinCount="100000" sheet="1" objects="1" scenarios="1"/>
  <mergeCells count="22">
    <mergeCell ref="C8:H8"/>
    <mergeCell ref="N69:O69"/>
    <mergeCell ref="G70:K70"/>
    <mergeCell ref="C5:L6"/>
    <mergeCell ref="M4:O8"/>
    <mergeCell ref="C41:O42"/>
    <mergeCell ref="C44:O44"/>
    <mergeCell ref="C14:O15"/>
    <mergeCell ref="C35:O35"/>
    <mergeCell ref="G71:K71"/>
    <mergeCell ref="D55:E56"/>
    <mergeCell ref="C38:O39"/>
    <mergeCell ref="C61:O63"/>
    <mergeCell ref="C64:O65"/>
    <mergeCell ref="C67:O68"/>
    <mergeCell ref="C69:D69"/>
    <mergeCell ref="G69:K69"/>
    <mergeCell ref="C17:O19"/>
    <mergeCell ref="C11:L12"/>
    <mergeCell ref="G22:H23"/>
    <mergeCell ref="D22:E22"/>
    <mergeCell ref="M21:O25"/>
  </mergeCells>
  <phoneticPr fontId="2" type="noConversion"/>
  <dataValidations count="2">
    <dataValidation type="list" allowBlank="1" showInputMessage="1" showErrorMessage="1" sqref="G50" xr:uid="{00000000-0002-0000-3500-000000000000}">
      <formula1>"-6,-12"</formula1>
    </dataValidation>
    <dataValidation type="list" allowBlank="1" showInputMessage="1" showErrorMessage="1" sqref="D27" xr:uid="{00000000-0002-0000-3500-000001000000}">
      <formula1>"DF12,BTR13"</formula1>
    </dataValidation>
  </dataValidations>
  <hyperlinks>
    <hyperlink ref="C8:H8" location="hh_fn_MAX" display="[To revise basics about the MAX and MIN functions click here.]" xr:uid="{00000000-0004-0000-3500-000000000000}"/>
    <hyperlink ref="N69:O69" location="hh_Combine_4" display="hh_Combine_4" xr:uid="{00000000-0004-0000-3500-000001000000}"/>
    <hyperlink ref="C69:D69" location="hh_index" display="hh_index" xr:uid="{00000000-0004-0000-3500-000002000000}"/>
    <hyperlink ref="G71:K71" r:id="rId1" display="https://www.tykoh.com/" xr:uid="{00000000-0004-0000-3500-000003000000}"/>
  </hyperlinks>
  <pageMargins left="0.75" right="0.75" top="1" bottom="1" header="0.5" footer="0.5"/>
  <pageSetup paperSize="9" scale="70" orientation="portrait" r:id="rId2"/>
  <headerFooter alignWithMargins="0"/>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6">
    <pageSetUpPr fitToPage="1"/>
  </sheetPr>
  <dimension ref="A1:P109"/>
  <sheetViews>
    <sheetView showGridLines="0" showRowColHeaders="0" topLeftCell="A49" workbookViewId="0">
      <selection activeCell="G94" sqref="G94:K94"/>
    </sheetView>
  </sheetViews>
  <sheetFormatPr defaultColWidth="0" defaultRowHeight="12.5" zeroHeight="1"/>
  <cols>
    <col min="1" max="2" width="1" style="32" customWidth="1"/>
    <col min="3" max="3" width="9.1796875" style="362" customWidth="1"/>
    <col min="4" max="15" width="9.1796875" style="32" customWidth="1"/>
    <col min="16" max="16" width="1.81640625" style="32" customWidth="1"/>
    <col min="17" max="16384" width="9.1796875" style="32" hidden="1"/>
  </cols>
  <sheetData>
    <row r="1" spans="3:15"/>
    <row r="2" spans="3:15">
      <c r="C2" s="971"/>
      <c r="D2" s="103"/>
      <c r="E2" s="103"/>
      <c r="F2" s="103"/>
      <c r="G2" s="103"/>
      <c r="H2" s="103"/>
      <c r="I2" s="103"/>
      <c r="J2" s="103"/>
      <c r="K2" s="103"/>
      <c r="L2" s="103"/>
      <c r="M2" s="103"/>
      <c r="N2" s="103"/>
      <c r="O2" s="103"/>
    </row>
    <row r="3" spans="3:15" ht="18" thickBot="1">
      <c r="C3" s="1756" t="s">
        <v>1647</v>
      </c>
      <c r="D3" s="1481"/>
      <c r="E3" s="1481"/>
      <c r="F3" s="1481"/>
      <c r="G3" s="1481"/>
      <c r="H3" s="1481"/>
      <c r="I3" s="1481"/>
      <c r="J3" s="1481"/>
      <c r="K3" s="1481"/>
      <c r="L3" s="1481"/>
      <c r="M3" s="1481"/>
      <c r="N3" s="1481"/>
    </row>
    <row r="4" spans="3:15" ht="13" thickTop="1">
      <c r="M4" s="1663" t="str">
        <f ca="1">OFFSET(ad_first,OFFSET(ads_top,ROW(ads_Ex_1)-1,1),0)</f>
        <v>Our Visual Basic course shows how to extend or change Microsoft Office products' functionality</v>
      </c>
      <c r="N4" s="1746"/>
      <c r="O4" s="1747"/>
    </row>
    <row r="5" spans="3:15">
      <c r="C5" s="1568" t="s">
        <v>1130</v>
      </c>
      <c r="D5" s="1518"/>
      <c r="E5" s="1518"/>
      <c r="F5" s="1518"/>
      <c r="G5" s="1518"/>
      <c r="H5" s="1518"/>
      <c r="I5" s="1518"/>
      <c r="J5" s="1518"/>
      <c r="K5" s="1518"/>
      <c r="L5" s="1518"/>
      <c r="M5" s="1748"/>
      <c r="N5" s="1749"/>
      <c r="O5" s="1750"/>
    </row>
    <row r="6" spans="3:15">
      <c r="C6" s="1518"/>
      <c r="D6" s="1518"/>
      <c r="E6" s="1518"/>
      <c r="F6" s="1518"/>
      <c r="G6" s="1518"/>
      <c r="H6" s="1518"/>
      <c r="I6" s="1518"/>
      <c r="J6" s="1518"/>
      <c r="K6" s="1518"/>
      <c r="L6" s="1518"/>
      <c r="M6" s="1748"/>
      <c r="N6" s="1749"/>
      <c r="O6" s="1750"/>
    </row>
    <row r="7" spans="3:15">
      <c r="C7" s="776"/>
      <c r="D7" s="263"/>
      <c r="E7" s="263"/>
      <c r="F7" s="263"/>
      <c r="G7" s="263"/>
      <c r="H7" s="263"/>
      <c r="I7" s="263"/>
      <c r="J7" s="263"/>
      <c r="K7" s="263"/>
      <c r="L7" s="263"/>
      <c r="M7" s="1748"/>
      <c r="N7" s="1749"/>
      <c r="O7" s="1750"/>
    </row>
    <row r="8" spans="3:15" ht="13" thickBot="1">
      <c r="C8" s="1396" t="s">
        <v>1125</v>
      </c>
      <c r="D8" s="263"/>
      <c r="E8" s="263"/>
      <c r="F8" s="263"/>
      <c r="G8" s="263"/>
      <c r="H8" s="263"/>
      <c r="I8" s="263"/>
      <c r="J8" s="263"/>
      <c r="K8" s="263"/>
      <c r="L8" s="263"/>
      <c r="M8" s="1751"/>
      <c r="N8" s="1752"/>
      <c r="O8" s="1753"/>
    </row>
    <row r="9" spans="3:15" ht="13" thickTop="1">
      <c r="C9" s="1396" t="s">
        <v>1126</v>
      </c>
      <c r="D9" s="263"/>
      <c r="E9" s="263"/>
      <c r="F9" s="263"/>
      <c r="G9" s="263"/>
      <c r="H9" s="263"/>
      <c r="I9" s="263"/>
      <c r="J9" s="263"/>
      <c r="K9" s="263"/>
      <c r="L9" s="263"/>
      <c r="M9" s="1347"/>
      <c r="N9" s="1347"/>
      <c r="O9" s="1347"/>
    </row>
    <row r="10" spans="3:15">
      <c r="C10" s="1396" t="s">
        <v>1127</v>
      </c>
      <c r="D10" s="263"/>
      <c r="E10" s="263"/>
      <c r="F10" s="263"/>
      <c r="G10" s="263"/>
      <c r="H10" s="263"/>
      <c r="I10" s="263"/>
      <c r="J10" s="263"/>
      <c r="K10" s="263"/>
      <c r="L10" s="263"/>
      <c r="M10" s="1347"/>
      <c r="N10" s="1347"/>
      <c r="O10" s="1347"/>
    </row>
    <row r="11" spans="3:15">
      <c r="C11" s="1396" t="s">
        <v>1128</v>
      </c>
      <c r="D11" s="263"/>
      <c r="E11" s="263"/>
      <c r="F11" s="263"/>
      <c r="G11" s="263"/>
      <c r="H11" s="263"/>
      <c r="I11" s="263"/>
      <c r="J11" s="263"/>
      <c r="K11" s="263"/>
      <c r="L11" s="263"/>
      <c r="M11" s="1347"/>
      <c r="N11" s="1347"/>
      <c r="O11" s="1347"/>
    </row>
    <row r="12" spans="3:15">
      <c r="C12" s="1396"/>
      <c r="D12" s="263"/>
      <c r="E12" s="263"/>
      <c r="F12" s="263"/>
      <c r="G12" s="263"/>
      <c r="H12" s="263"/>
      <c r="I12" s="263"/>
      <c r="J12" s="263"/>
      <c r="K12" s="263"/>
      <c r="L12" s="263"/>
      <c r="M12" s="1347"/>
      <c r="N12" s="1347"/>
      <c r="O12" s="1347"/>
    </row>
    <row r="13" spans="3:15">
      <c r="C13" s="776" t="s">
        <v>1131</v>
      </c>
      <c r="D13" s="263"/>
      <c r="E13" s="263"/>
      <c r="F13" s="263"/>
      <c r="G13" s="263"/>
      <c r="H13" s="263"/>
      <c r="I13" s="263"/>
      <c r="J13" s="263"/>
      <c r="K13" s="263"/>
      <c r="L13" s="263"/>
      <c r="M13" s="1347"/>
      <c r="N13" s="1347"/>
      <c r="O13" s="1347"/>
    </row>
    <row r="14" spans="3:15">
      <c r="C14" s="1396"/>
      <c r="D14" s="263"/>
      <c r="E14" s="263"/>
      <c r="F14" s="263"/>
      <c r="G14" s="263"/>
      <c r="H14" s="263"/>
      <c r="I14" s="263"/>
      <c r="J14" s="263"/>
      <c r="K14" s="263"/>
      <c r="L14" s="263"/>
      <c r="M14" s="1347"/>
      <c r="N14" s="1347"/>
      <c r="O14" s="1347"/>
    </row>
    <row r="15" spans="3:15">
      <c r="C15" s="1585" t="s">
        <v>1129</v>
      </c>
      <c r="D15" s="1518"/>
      <c r="E15" s="1518"/>
      <c r="F15" s="1518"/>
      <c r="G15" s="1518"/>
      <c r="H15" s="1518"/>
      <c r="I15" s="1518"/>
      <c r="J15" s="1518"/>
      <c r="K15" s="1518"/>
      <c r="L15" s="1518"/>
      <c r="M15" s="1518"/>
      <c r="N15" s="1518"/>
      <c r="O15" s="1518"/>
    </row>
    <row r="16" spans="3:15">
      <c r="C16" s="1585"/>
      <c r="D16" s="1518"/>
      <c r="E16" s="1518"/>
      <c r="F16" s="1518"/>
      <c r="G16" s="1518"/>
      <c r="H16" s="1518"/>
      <c r="I16" s="1518"/>
      <c r="J16" s="1518"/>
      <c r="K16" s="1518"/>
      <c r="L16" s="1518"/>
      <c r="M16" s="1518"/>
      <c r="N16" s="1518"/>
      <c r="O16" s="1518"/>
    </row>
    <row r="17" spans="3:15">
      <c r="C17" s="1518"/>
      <c r="D17" s="1518"/>
      <c r="E17" s="1518"/>
      <c r="F17" s="1518"/>
      <c r="G17" s="1518"/>
      <c r="H17" s="1518"/>
      <c r="I17" s="1518"/>
      <c r="J17" s="1518"/>
      <c r="K17" s="1518"/>
      <c r="L17" s="1518"/>
      <c r="M17" s="1518"/>
      <c r="N17" s="1518"/>
      <c r="O17" s="1518"/>
    </row>
    <row r="18" spans="3:15">
      <c r="C18" s="1518"/>
      <c r="D18" s="1518"/>
      <c r="E18" s="1518"/>
      <c r="F18" s="1518"/>
      <c r="G18" s="1518"/>
      <c r="H18" s="1518"/>
      <c r="I18" s="1518"/>
      <c r="J18" s="1518"/>
      <c r="K18" s="1518"/>
      <c r="L18" s="1518"/>
      <c r="M18" s="1518"/>
      <c r="N18" s="1518"/>
      <c r="O18" s="1518"/>
    </row>
    <row r="19" spans="3:15">
      <c r="C19" s="776"/>
      <c r="D19" s="263"/>
      <c r="E19" s="263"/>
      <c r="F19" s="263"/>
      <c r="G19" s="263"/>
      <c r="H19" s="263"/>
      <c r="I19" s="263"/>
      <c r="J19" s="263"/>
      <c r="K19" s="263"/>
      <c r="L19" s="263"/>
      <c r="M19" s="1347"/>
      <c r="N19" s="1347"/>
      <c r="O19" s="1347"/>
    </row>
    <row r="20" spans="3:15">
      <c r="C20" s="1585" t="s">
        <v>297</v>
      </c>
      <c r="D20" s="1518"/>
      <c r="E20" s="1518"/>
      <c r="F20" s="1518"/>
      <c r="G20" s="1518"/>
      <c r="H20" s="1518"/>
      <c r="I20" s="1518"/>
      <c r="J20" s="1518"/>
      <c r="K20" s="1518"/>
      <c r="L20" s="1518"/>
      <c r="M20" s="1518"/>
      <c r="N20" s="1518"/>
      <c r="O20" s="1518"/>
    </row>
    <row r="21" spans="3:15" s="343" customFormat="1">
      <c r="C21" s="1518"/>
      <c r="D21" s="1518"/>
      <c r="E21" s="1518"/>
      <c r="F21" s="1518"/>
      <c r="G21" s="1518"/>
      <c r="H21" s="1518"/>
      <c r="I21" s="1518"/>
      <c r="J21" s="1518"/>
      <c r="K21" s="1518"/>
      <c r="L21" s="1518"/>
      <c r="M21" s="1518"/>
      <c r="N21" s="1518"/>
      <c r="O21" s="1518"/>
    </row>
    <row r="22" spans="3:15" s="343" customFormat="1">
      <c r="C22" s="619"/>
      <c r="D22" s="619"/>
      <c r="E22" s="619"/>
      <c r="F22" s="619"/>
      <c r="G22" s="619"/>
      <c r="H22" s="619"/>
      <c r="I22" s="619"/>
      <c r="J22" s="619"/>
      <c r="K22" s="619"/>
      <c r="L22" s="619"/>
    </row>
    <row r="23" spans="3:15" ht="14">
      <c r="C23" s="1101" t="s">
        <v>1176</v>
      </c>
    </row>
    <row r="24" spans="3:15"/>
    <row r="25" spans="3:15">
      <c r="C25" s="1550" t="s">
        <v>249</v>
      </c>
      <c r="D25" s="1585"/>
      <c r="E25" s="1585"/>
      <c r="F25" s="1585"/>
      <c r="G25" s="1585"/>
      <c r="H25" s="1585"/>
      <c r="I25" s="1585"/>
      <c r="J25" s="1585"/>
      <c r="K25" s="1585"/>
      <c r="L25" s="1585"/>
      <c r="M25" s="1585"/>
      <c r="N25" s="1585"/>
    </row>
    <row r="26" spans="3:15">
      <c r="C26" s="1585"/>
      <c r="D26" s="1585"/>
      <c r="E26" s="1585"/>
      <c r="F26" s="1585"/>
      <c r="G26" s="1585"/>
      <c r="H26" s="1585"/>
      <c r="I26" s="1585"/>
      <c r="J26" s="1585"/>
      <c r="K26" s="1585"/>
      <c r="L26" s="1585"/>
      <c r="M26" s="1585"/>
      <c r="N26" s="1585"/>
    </row>
    <row r="27" spans="3:15">
      <c r="C27" s="1585"/>
      <c r="D27" s="1585"/>
      <c r="E27" s="1585"/>
      <c r="F27" s="1585"/>
      <c r="G27" s="1585"/>
      <c r="H27" s="1585"/>
      <c r="I27" s="1585"/>
      <c r="J27" s="1585"/>
      <c r="K27" s="1585"/>
      <c r="L27" s="1585"/>
      <c r="M27" s="1585"/>
      <c r="N27" s="1585"/>
    </row>
    <row r="28" spans="3:15">
      <c r="C28" s="1585"/>
      <c r="D28" s="1585"/>
      <c r="E28" s="1585"/>
      <c r="F28" s="1585"/>
      <c r="G28" s="1585"/>
      <c r="H28" s="1585"/>
      <c r="I28" s="1585"/>
      <c r="J28" s="1585"/>
      <c r="K28" s="1585"/>
      <c r="L28" s="1585"/>
      <c r="M28" s="1585"/>
      <c r="N28" s="1585"/>
    </row>
    <row r="29" spans="3:15">
      <c r="C29" s="1585"/>
      <c r="D29" s="1585"/>
      <c r="E29" s="1585"/>
      <c r="F29" s="1585"/>
      <c r="G29" s="1585"/>
      <c r="H29" s="1585"/>
      <c r="I29" s="1585"/>
      <c r="J29" s="1585"/>
      <c r="K29" s="1585"/>
      <c r="L29" s="1585"/>
      <c r="M29" s="1585"/>
      <c r="N29" s="1585"/>
    </row>
    <row r="30" spans="3:15" ht="13">
      <c r="C30" s="978" t="str">
        <f>degree_of_difficulty</f>
        <v>Degree of difficulty (1=easy, 10=extremely difficult)</v>
      </c>
      <c r="D30" s="263"/>
      <c r="E30" s="263"/>
      <c r="F30" s="263"/>
      <c r="G30" s="263"/>
      <c r="H30" s="263"/>
      <c r="I30" s="263"/>
      <c r="J30" s="263"/>
      <c r="K30" s="263"/>
      <c r="L30" s="263"/>
      <c r="M30" s="263"/>
      <c r="N30" s="263"/>
    </row>
    <row r="31" spans="3:15">
      <c r="C31" s="737">
        <v>3</v>
      </c>
      <c r="D31" s="263"/>
      <c r="E31" s="263"/>
      <c r="F31" s="263"/>
      <c r="G31" s="263"/>
      <c r="H31" s="263"/>
      <c r="I31" s="263"/>
      <c r="J31" s="263"/>
      <c r="K31" s="263"/>
      <c r="L31" s="263"/>
      <c r="M31" s="263"/>
      <c r="N31" s="263"/>
    </row>
    <row r="32" spans="3:15">
      <c r="C32" s="263"/>
      <c r="D32" s="263"/>
      <c r="E32" s="263"/>
      <c r="F32" s="263"/>
      <c r="G32" s="263"/>
      <c r="H32" s="263"/>
      <c r="I32" s="263"/>
      <c r="J32" s="263"/>
      <c r="K32" s="263"/>
      <c r="L32" s="263"/>
      <c r="M32" s="263"/>
      <c r="N32" s="263"/>
    </row>
    <row r="33" spans="3:16">
      <c r="C33" s="1550" t="s">
        <v>14</v>
      </c>
      <c r="D33" s="1585"/>
      <c r="E33" s="1585"/>
      <c r="F33" s="1585"/>
      <c r="G33" s="1585"/>
      <c r="H33" s="1585"/>
      <c r="I33" s="1585"/>
      <c r="J33" s="1585"/>
      <c r="K33" s="1585"/>
      <c r="L33" s="1585"/>
      <c r="M33" s="1585"/>
      <c r="N33" s="1585"/>
    </row>
    <row r="34" spans="3:16">
      <c r="C34" s="1585"/>
      <c r="D34" s="1585"/>
      <c r="E34" s="1585"/>
      <c r="F34" s="1585"/>
      <c r="G34" s="1585"/>
      <c r="H34" s="1585"/>
      <c r="I34" s="1585"/>
      <c r="J34" s="1585"/>
      <c r="K34" s="1585"/>
      <c r="L34" s="1585"/>
      <c r="M34" s="1585"/>
      <c r="N34" s="1585"/>
    </row>
    <row r="35" spans="3:16" ht="13" thickBot="1">
      <c r="C35" s="1585"/>
      <c r="D35" s="1585"/>
      <c r="E35" s="1585"/>
      <c r="F35" s="1585"/>
      <c r="G35" s="1585"/>
      <c r="H35" s="1585"/>
      <c r="I35" s="1585"/>
      <c r="J35" s="1585"/>
      <c r="K35" s="1585"/>
      <c r="L35" s="1585"/>
      <c r="M35" s="1585"/>
      <c r="N35" s="1585"/>
    </row>
    <row r="36" spans="3:16" ht="13" thickTop="1">
      <c r="M36" s="1545" t="str">
        <f ca="1">OFFSET(ad_first,OFFSET(ads_top,ROW(ads_Ex_1)-1,1),0)</f>
        <v>Our Visual Basic course shows how to extend or change Microsoft Office products' functionality</v>
      </c>
      <c r="N36" s="1689"/>
      <c r="O36" s="1690"/>
    </row>
    <row r="37" spans="3:16" ht="13">
      <c r="C37" s="1397" t="s">
        <v>298</v>
      </c>
      <c r="M37" s="1691"/>
      <c r="N37" s="1692"/>
      <c r="O37" s="1693"/>
    </row>
    <row r="38" spans="3:16" ht="13">
      <c r="C38" s="1396" t="s">
        <v>299</v>
      </c>
      <c r="D38" s="263"/>
      <c r="E38" s="263"/>
      <c r="F38" s="263"/>
      <c r="G38" s="263"/>
      <c r="H38" s="263"/>
      <c r="I38" s="263"/>
      <c r="J38" s="263"/>
      <c r="K38" s="263"/>
      <c r="L38" s="263"/>
      <c r="M38" s="1691"/>
      <c r="N38" s="1692"/>
      <c r="O38" s="1693"/>
    </row>
    <row r="39" spans="3:16" ht="13">
      <c r="C39" s="1397" t="s">
        <v>300</v>
      </c>
      <c r="M39" s="1691"/>
      <c r="N39" s="1692"/>
      <c r="O39" s="1693"/>
    </row>
    <row r="40" spans="3:16" ht="13.5" thickBot="1">
      <c r="C40" s="1397" t="s">
        <v>301</v>
      </c>
      <c r="M40" s="1694"/>
      <c r="N40" s="1695"/>
      <c r="O40" s="1696"/>
    </row>
    <row r="41" spans="3:16" ht="13.5" thickTop="1">
      <c r="C41" s="1397" t="s">
        <v>302</v>
      </c>
    </row>
    <row r="42" spans="3:16">
      <c r="C42" s="1397"/>
    </row>
    <row r="43" spans="3:16">
      <c r="C43" s="362" t="str">
        <f>"Put a formula into cell " &amp; ADDRESS(ROW(52:52),COLUMN(F:F),4)&amp;" below to complete the exercise."</f>
        <v>Put a formula into cell F52 below to complete the exercise.</v>
      </c>
      <c r="L43" s="236"/>
      <c r="M43" s="236"/>
      <c r="N43" s="236"/>
      <c r="O43" s="236"/>
      <c r="P43" s="236"/>
    </row>
    <row r="44" spans="3:16">
      <c r="L44" s="542"/>
      <c r="M44" s="236"/>
      <c r="N44" s="236"/>
      <c r="O44" s="236"/>
      <c r="P44" s="236"/>
    </row>
    <row r="45" spans="3:16">
      <c r="C45" s="942"/>
      <c r="D45" s="857" t="str">
        <f t="shared" ref="D45:K45" si="0">CHAR(CODE("A")+COLUMN(D$23:D$99)-1)</f>
        <v>D</v>
      </c>
      <c r="E45" s="857" t="str">
        <f t="shared" si="0"/>
        <v>E</v>
      </c>
      <c r="F45" s="857" t="str">
        <f t="shared" si="0"/>
        <v>F</v>
      </c>
      <c r="G45" s="857" t="str">
        <f t="shared" si="0"/>
        <v>G</v>
      </c>
      <c r="H45" s="857" t="str">
        <f t="shared" si="0"/>
        <v>H</v>
      </c>
      <c r="I45" s="857" t="str">
        <f t="shared" si="0"/>
        <v>I</v>
      </c>
      <c r="J45" s="857" t="str">
        <f t="shared" si="0"/>
        <v>J</v>
      </c>
      <c r="K45" s="857" t="str">
        <f t="shared" si="0"/>
        <v>K</v>
      </c>
      <c r="L45" s="87"/>
      <c r="M45" s="235"/>
      <c r="N45" s="235"/>
      <c r="O45" s="235"/>
      <c r="P45" s="236"/>
    </row>
    <row r="46" spans="3:16">
      <c r="C46" s="857">
        <f>ROW($C46:$K46)</f>
        <v>46</v>
      </c>
      <c r="D46" s="791"/>
      <c r="E46" s="791"/>
      <c r="F46" s="791"/>
      <c r="G46" s="791"/>
      <c r="H46" s="943"/>
      <c r="I46" s="943"/>
      <c r="J46" s="943"/>
      <c r="K46" s="943"/>
      <c r="L46" s="87">
        <v>34</v>
      </c>
      <c r="M46" s="235"/>
      <c r="N46" s="235"/>
      <c r="O46" s="235"/>
      <c r="P46" s="236"/>
    </row>
    <row r="47" spans="3:16">
      <c r="C47" s="857">
        <f>ROW($C47:$K47)</f>
        <v>47</v>
      </c>
      <c r="D47" s="791" t="s">
        <v>884</v>
      </c>
      <c r="E47" s="791"/>
      <c r="F47" s="791">
        <v>37</v>
      </c>
      <c r="G47" s="791"/>
      <c r="H47" s="791"/>
      <c r="I47" s="791"/>
      <c r="J47" s="791"/>
      <c r="K47" s="943"/>
      <c r="L47" s="87">
        <f>L46+1</f>
        <v>35</v>
      </c>
      <c r="M47" s="235"/>
      <c r="N47" s="235"/>
      <c r="O47" s="235"/>
      <c r="P47" s="236"/>
    </row>
    <row r="48" spans="3:16">
      <c r="C48" s="857">
        <f>ROW($C48:$K48)</f>
        <v>48</v>
      </c>
      <c r="D48" s="791" t="s">
        <v>885</v>
      </c>
      <c r="E48" s="791"/>
      <c r="F48" s="791">
        <v>35</v>
      </c>
      <c r="G48" s="791"/>
      <c r="H48" s="791"/>
      <c r="I48" s="791"/>
      <c r="J48" s="791"/>
      <c r="K48" s="943"/>
      <c r="L48" s="87">
        <f>L47+1</f>
        <v>36</v>
      </c>
      <c r="M48" s="235"/>
      <c r="N48" s="235"/>
      <c r="O48" s="235"/>
      <c r="P48" s="236"/>
    </row>
    <row r="49" spans="3:16">
      <c r="C49" s="857">
        <f>ROW($C49:$K49)</f>
        <v>49</v>
      </c>
      <c r="D49" s="791" t="s">
        <v>668</v>
      </c>
      <c r="E49" s="791"/>
      <c r="F49" s="944">
        <v>38</v>
      </c>
      <c r="G49" s="945" t="s">
        <v>886</v>
      </c>
      <c r="H49" s="791"/>
      <c r="I49" s="791"/>
      <c r="J49" s="791"/>
      <c r="K49" s="943"/>
      <c r="L49" s="87">
        <f>L48+1</f>
        <v>37</v>
      </c>
      <c r="M49" s="235"/>
      <c r="N49" s="235"/>
      <c r="O49" s="235"/>
      <c r="P49" s="236"/>
    </row>
    <row r="50" spans="3:16">
      <c r="C50" s="857">
        <f>ROW($C50:$K50)</f>
        <v>50</v>
      </c>
      <c r="D50" s="791"/>
      <c r="E50" s="791"/>
      <c r="F50" s="791"/>
      <c r="G50" s="791" t="s">
        <v>887</v>
      </c>
      <c r="H50" s="791"/>
      <c r="I50" s="791"/>
      <c r="J50" s="791"/>
      <c r="K50" s="943"/>
      <c r="L50" s="87">
        <f>L49+1</f>
        <v>38</v>
      </c>
      <c r="M50" s="235"/>
      <c r="N50" s="235"/>
      <c r="O50" s="235"/>
      <c r="P50" s="236"/>
    </row>
    <row r="51" spans="3:16">
      <c r="C51" s="857">
        <f t="shared" ref="C51:C56" si="1">ROW($C51:$L51)</f>
        <v>51</v>
      </c>
      <c r="D51" s="791"/>
      <c r="E51" s="791"/>
      <c r="F51" s="791"/>
      <c r="G51" s="791"/>
      <c r="H51" s="791"/>
      <c r="I51" s="791"/>
      <c r="J51" s="791"/>
      <c r="K51" s="943"/>
      <c r="L51" s="236"/>
      <c r="M51" s="236"/>
      <c r="N51" s="236"/>
      <c r="O51" s="236"/>
      <c r="P51" s="236"/>
    </row>
    <row r="52" spans="3:16" ht="13">
      <c r="C52" s="857">
        <f t="shared" si="1"/>
        <v>52</v>
      </c>
      <c r="D52" s="791" t="s">
        <v>1383</v>
      </c>
      <c r="E52" s="791"/>
      <c r="F52" s="988"/>
      <c r="G52" s="987" t="s">
        <v>888</v>
      </c>
      <c r="H52" s="791"/>
      <c r="I52" s="791"/>
      <c r="J52" s="791"/>
      <c r="K52" s="943"/>
      <c r="L52" s="240"/>
      <c r="M52" s="240"/>
      <c r="N52" s="240"/>
      <c r="O52" s="236"/>
      <c r="P52" s="236"/>
    </row>
    <row r="53" spans="3:16">
      <c r="C53" s="857">
        <f>ROW(53:53)</f>
        <v>53</v>
      </c>
      <c r="D53" s="791"/>
      <c r="E53" s="791"/>
      <c r="F53" s="791"/>
      <c r="G53" s="791"/>
      <c r="H53" s="943"/>
      <c r="I53" s="943"/>
      <c r="J53" s="943"/>
      <c r="K53" s="943"/>
      <c r="L53" s="1001"/>
      <c r="M53" s="1001"/>
      <c r="N53" s="1001"/>
      <c r="O53" s="236"/>
      <c r="P53" s="236"/>
    </row>
    <row r="54" spans="3:16" ht="13">
      <c r="C54" s="857">
        <f t="shared" si="1"/>
        <v>54</v>
      </c>
      <c r="D54" s="946" t="s">
        <v>889</v>
      </c>
      <c r="E54" s="791"/>
      <c r="F54" s="791"/>
      <c r="G54" s="791"/>
      <c r="H54" s="943"/>
      <c r="I54" s="943"/>
      <c r="J54" s="943"/>
      <c r="K54" s="947">
        <f>D89</f>
        <v>2</v>
      </c>
      <c r="L54" s="1001"/>
      <c r="M54" s="1001"/>
      <c r="N54" s="1001"/>
      <c r="O54" s="236"/>
      <c r="P54" s="236"/>
    </row>
    <row r="55" spans="3:16">
      <c r="C55" s="857">
        <f t="shared" si="1"/>
        <v>55</v>
      </c>
      <c r="D55" s="1757" t="str">
        <f>CHOOSE(K54,C82,answer_complete,answer_correct)</f>
        <v>Please complete the answer.</v>
      </c>
      <c r="E55" s="1758"/>
      <c r="F55" s="1758"/>
      <c r="G55" s="1758"/>
      <c r="H55" s="1758"/>
      <c r="I55" s="1758"/>
      <c r="J55" s="1758"/>
      <c r="K55" s="1759"/>
      <c r="L55" s="1001"/>
      <c r="M55" s="1001"/>
      <c r="N55" s="1001"/>
      <c r="O55" s="236"/>
    </row>
    <row r="56" spans="3:16">
      <c r="C56" s="857">
        <f t="shared" si="1"/>
        <v>56</v>
      </c>
      <c r="D56" s="1760"/>
      <c r="E56" s="1761"/>
      <c r="F56" s="1761"/>
      <c r="G56" s="1761"/>
      <c r="H56" s="1761"/>
      <c r="I56" s="1761"/>
      <c r="J56" s="1761"/>
      <c r="K56" s="1762"/>
      <c r="L56" s="1001"/>
      <c r="M56" s="1001"/>
      <c r="N56" s="1001"/>
      <c r="O56" s="236"/>
    </row>
    <row r="57" spans="3:16">
      <c r="L57" s="125"/>
      <c r="M57" s="1001"/>
      <c r="N57" s="1001"/>
      <c r="O57" s="236"/>
    </row>
    <row r="58" spans="3:16">
      <c r="C58" s="1754" t="str">
        <f>see_summary</f>
        <v>[See summary of answer status of all exercises].</v>
      </c>
      <c r="D58" s="1518"/>
      <c r="E58" s="1518"/>
      <c r="F58" s="1518"/>
      <c r="G58" s="1518"/>
      <c r="L58" s="125"/>
      <c r="M58" s="1001"/>
      <c r="N58" s="1001"/>
      <c r="O58" s="236"/>
    </row>
    <row r="59" spans="3:16">
      <c r="L59" s="125"/>
      <c r="M59" s="125"/>
      <c r="N59" s="125"/>
    </row>
    <row r="60" spans="3:16" hidden="1">
      <c r="C60" s="362" t="s">
        <v>1185</v>
      </c>
      <c r="E60" s="32" t="str">
        <f>IF(F49&gt;F47,"above",IF(F49=F47,"at upper",IF(F49=F48,"at lower",IF(F49&lt;F48,"below","within"))))</f>
        <v>above</v>
      </c>
      <c r="H60" s="32" t="s">
        <v>975</v>
      </c>
      <c r="I60" s="32" t="s">
        <v>976</v>
      </c>
      <c r="J60" s="32" t="s">
        <v>979</v>
      </c>
      <c r="L60" s="125"/>
      <c r="M60" s="125"/>
      <c r="N60" s="125"/>
    </row>
    <row r="61" spans="3:16" hidden="1">
      <c r="C61" s="362" t="s">
        <v>974</v>
      </c>
      <c r="E61" s="32">
        <f>F52</f>
        <v>0</v>
      </c>
      <c r="L61" s="125"/>
      <c r="M61" s="125"/>
      <c r="N61" s="125"/>
    </row>
    <row r="62" spans="3:16" hidden="1">
      <c r="H62" s="32" t="str">
        <f>E60</f>
        <v>above</v>
      </c>
      <c r="I62" s="32">
        <f>F52</f>
        <v>0</v>
      </c>
      <c r="L62" s="125"/>
      <c r="M62" s="125"/>
      <c r="N62" s="125"/>
    </row>
    <row r="63" spans="3:16" hidden="1">
      <c r="G63" s="32">
        <v>34</v>
      </c>
      <c r="H63" s="32" t="str">
        <f t="dataTable" ref="H63:I67" dt2D="0" dtr="0" r1="F49"/>
        <v>below</v>
      </c>
      <c r="I63" s="32">
        <v>0</v>
      </c>
      <c r="J63" s="32">
        <f>IF(H63&lt;&gt;I63,1,0)</f>
        <v>1</v>
      </c>
      <c r="L63" s="125"/>
      <c r="M63" s="125"/>
      <c r="N63" s="125"/>
    </row>
    <row r="64" spans="3:16" hidden="1">
      <c r="G64" s="32">
        <f>G63+1</f>
        <v>35</v>
      </c>
      <c r="H64" s="32" t="str">
        <v>at lower</v>
      </c>
      <c r="I64" s="32">
        <v>0</v>
      </c>
      <c r="J64" s="32">
        <f>IF(H64&lt;&gt;I64,1,0)</f>
        <v>1</v>
      </c>
      <c r="L64" s="125"/>
      <c r="M64" s="125"/>
      <c r="N64" s="125"/>
    </row>
    <row r="65" spans="3:14" hidden="1">
      <c r="G65" s="32">
        <f>G64+1</f>
        <v>36</v>
      </c>
      <c r="H65" s="32" t="str">
        <v>within</v>
      </c>
      <c r="I65" s="32">
        <v>0</v>
      </c>
      <c r="J65" s="32">
        <f>IF(H65&lt;&gt;I65,1,0)</f>
        <v>1</v>
      </c>
      <c r="L65" s="125"/>
      <c r="M65" s="125"/>
      <c r="N65" s="125"/>
    </row>
    <row r="66" spans="3:14" hidden="1">
      <c r="G66" s="32">
        <f>G65+1</f>
        <v>37</v>
      </c>
      <c r="H66" s="32" t="str">
        <v>at upper</v>
      </c>
      <c r="I66" s="32">
        <v>0</v>
      </c>
      <c r="J66" s="32">
        <f>IF(H66&lt;&gt;I66,1,0)</f>
        <v>1</v>
      </c>
      <c r="L66" s="125"/>
      <c r="M66" s="125"/>
      <c r="N66" s="125"/>
    </row>
    <row r="67" spans="3:14" hidden="1">
      <c r="G67" s="32">
        <f>G66+1</f>
        <v>38</v>
      </c>
      <c r="H67" s="32" t="str">
        <v>above</v>
      </c>
      <c r="I67" s="32">
        <v>0</v>
      </c>
      <c r="J67" s="32">
        <f>IF(H67&lt;&gt;I67,1,0)</f>
        <v>1</v>
      </c>
      <c r="L67" s="125"/>
      <c r="M67" s="125"/>
      <c r="N67" s="125"/>
    </row>
    <row r="68" spans="3:14" hidden="1">
      <c r="L68" s="125"/>
      <c r="M68" s="125"/>
      <c r="N68" s="125"/>
    </row>
    <row r="69" spans="3:14" hidden="1">
      <c r="G69" s="32" t="s">
        <v>980</v>
      </c>
      <c r="J69" s="32">
        <f>MATCH(1,J63:J67,0)-1</f>
        <v>0</v>
      </c>
      <c r="L69" s="125"/>
      <c r="M69" s="125"/>
      <c r="N69" s="125"/>
    </row>
    <row r="70" spans="3:14" hidden="1">
      <c r="L70" s="125"/>
      <c r="M70" s="125"/>
      <c r="N70" s="125"/>
    </row>
    <row r="71" spans="3:14" hidden="1">
      <c r="C71" s="32" t="s">
        <v>997</v>
      </c>
      <c r="G71" s="32" t="b">
        <f>LEN(F52)=0</f>
        <v>1</v>
      </c>
      <c r="L71" s="125"/>
      <c r="M71" s="125"/>
      <c r="N71" s="125"/>
    </row>
    <row r="72" spans="3:14" hidden="1">
      <c r="C72" s="32" t="s">
        <v>1058</v>
      </c>
      <c r="G72" s="32" t="b">
        <f>SUM(J63:J67)=0</f>
        <v>0</v>
      </c>
      <c r="L72" s="125"/>
      <c r="M72" s="125"/>
      <c r="N72" s="125"/>
    </row>
    <row r="73" spans="3:14" hidden="1">
      <c r="C73" s="32" t="s">
        <v>1220</v>
      </c>
      <c r="G73" s="32" t="b">
        <f>AND(NOT(G71),NOT(G72))</f>
        <v>0</v>
      </c>
      <c r="L73" s="125"/>
      <c r="M73" s="125"/>
      <c r="N73" s="125"/>
    </row>
    <row r="74" spans="3:14" hidden="1">
      <c r="L74" s="125"/>
      <c r="M74" s="125"/>
      <c r="N74" s="125"/>
    </row>
    <row r="75" spans="3:14" hidden="1">
      <c r="C75" s="362" t="s">
        <v>981</v>
      </c>
      <c r="L75" s="125"/>
      <c r="M75" s="125"/>
      <c r="N75" s="125"/>
    </row>
    <row r="76" spans="3:14" hidden="1">
      <c r="C76" s="362" t="str">
        <f>"Your answer is """ &amp; E61 &amp; """ but the correct answer is """ &amp; E60 &amp; """."</f>
        <v>Your answer is "0" but the correct answer is "above".</v>
      </c>
      <c r="L76" s="125"/>
      <c r="M76" s="125"/>
      <c r="N76" s="125"/>
    </row>
    <row r="77" spans="3:14" hidden="1">
      <c r="L77" s="125"/>
      <c r="M77" s="125"/>
      <c r="N77" s="125"/>
    </row>
    <row r="78" spans="3:14" hidden="1">
      <c r="C78" s="362" t="s">
        <v>982</v>
      </c>
      <c r="L78" s="125"/>
      <c r="M78" s="125"/>
      <c r="N78" s="125"/>
    </row>
    <row r="79" spans="3:14" hidden="1">
      <c r="C79" s="362" t="str">
        <f ca="1">"That is correct.  But if the amount was " &amp; OFFSET(G63,J69,0) &amp; " your answer would be """ &amp; OFFSET(I63,J69,0) &amp; """ but the correct answer in that case would be """ &amp; OFFSET(H63,J69,0)&amp; """."</f>
        <v>That is correct.  But if the amount was 34 your answer would be "0" but the correct answer in that case would be "below".</v>
      </c>
      <c r="L79" s="125"/>
      <c r="M79" s="125"/>
      <c r="N79" s="125"/>
    </row>
    <row r="80" spans="3:14" hidden="1">
      <c r="L80" s="125"/>
      <c r="M80" s="125"/>
      <c r="N80" s="125"/>
    </row>
    <row r="81" spans="3:15" hidden="1">
      <c r="C81" s="362" t="s">
        <v>999</v>
      </c>
      <c r="L81" s="125"/>
      <c r="M81" s="125"/>
      <c r="N81" s="125"/>
    </row>
    <row r="82" spans="3:15" hidden="1">
      <c r="C82" s="362" t="str">
        <f>IF(E60=E61,C79,C76)</f>
        <v>Your answer is "0" but the correct answer is "above".</v>
      </c>
      <c r="L82" s="125"/>
      <c r="M82" s="125"/>
      <c r="N82" s="125"/>
    </row>
    <row r="83" spans="3:15" hidden="1">
      <c r="L83" s="125"/>
      <c r="M83" s="125"/>
      <c r="N83" s="125"/>
    </row>
    <row r="84" spans="3:15" hidden="1">
      <c r="C84" s="1755" t="s">
        <v>1054</v>
      </c>
      <c r="D84" s="1755"/>
      <c r="E84" s="1755"/>
      <c r="F84" s="1755"/>
      <c r="G84" s="1755"/>
      <c r="H84" s="1755"/>
      <c r="I84" s="1755"/>
      <c r="L84" s="125"/>
      <c r="M84" s="125"/>
      <c r="N84" s="125"/>
    </row>
    <row r="85" spans="3:15" hidden="1">
      <c r="C85" s="1755"/>
      <c r="D85" s="1755"/>
      <c r="E85" s="1755"/>
      <c r="F85" s="1755"/>
      <c r="G85" s="1755"/>
      <c r="H85" s="1755"/>
      <c r="I85" s="1755"/>
      <c r="L85" s="125"/>
      <c r="M85" s="125"/>
      <c r="N85" s="125"/>
    </row>
    <row r="86" spans="3:15" hidden="1">
      <c r="C86" s="1755"/>
      <c r="D86" s="1755"/>
      <c r="E86" s="1755"/>
      <c r="F86" s="1755"/>
      <c r="G86" s="1755"/>
      <c r="H86" s="1755"/>
      <c r="I86" s="1755"/>
      <c r="L86" s="125"/>
      <c r="M86" s="125"/>
      <c r="N86" s="125"/>
    </row>
    <row r="87" spans="3:15" hidden="1">
      <c r="C87" s="1755"/>
      <c r="D87" s="1755"/>
      <c r="E87" s="1755"/>
      <c r="F87" s="1755"/>
      <c r="G87" s="1755"/>
      <c r="H87" s="1755"/>
      <c r="I87" s="1755"/>
      <c r="L87" s="125"/>
      <c r="M87" s="125"/>
      <c r="N87" s="125"/>
    </row>
    <row r="88" spans="3:15" hidden="1">
      <c r="L88" s="125"/>
      <c r="M88" s="125"/>
      <c r="N88" s="125"/>
    </row>
    <row r="89" spans="3:15" hidden="1">
      <c r="C89" s="362" t="s">
        <v>426</v>
      </c>
      <c r="D89" s="32">
        <f>IF(G73,1,IF(G72,3,2))</f>
        <v>2</v>
      </c>
      <c r="L89" s="125"/>
      <c r="M89" s="125"/>
      <c r="N89" s="125"/>
    </row>
    <row r="90" spans="3:15" hidden="1">
      <c r="L90" s="125"/>
      <c r="M90" s="125"/>
      <c r="N90" s="125"/>
    </row>
    <row r="91" spans="3:15" hidden="1">
      <c r="F91" s="125"/>
      <c r="G91" s="125"/>
      <c r="H91" s="125"/>
      <c r="I91" s="125"/>
      <c r="J91" s="125"/>
      <c r="K91" s="125"/>
      <c r="L91" s="125"/>
      <c r="M91" s="125"/>
      <c r="N91" s="125"/>
    </row>
    <row r="92" spans="3:15" customFormat="1">
      <c r="C92" s="1697" t="str">
        <f>back_to_index</f>
        <v>Back to contents</v>
      </c>
      <c r="D92" s="1697"/>
      <c r="G92" s="1674" t="str">
        <f>page_prefix &amp; page_Ex_1&amp; page_suffix</f>
        <v>- Page 42 -</v>
      </c>
      <c r="H92" s="1674"/>
      <c r="I92" s="1674"/>
      <c r="J92" s="1674"/>
      <c r="K92" s="1674"/>
      <c r="N92" s="1673" t="str">
        <f>back_to_top</f>
        <v>Back to top</v>
      </c>
      <c r="O92" s="1673"/>
    </row>
    <row r="93" spans="3:15" customFormat="1">
      <c r="G93" s="1674" t="str">
        <f>copyright</f>
        <v>Copyright (c) 2009 Tykoh Group Pty Limited</v>
      </c>
      <c r="H93" s="1674"/>
      <c r="I93" s="1674"/>
      <c r="J93" s="1674"/>
      <c r="K93" s="1674"/>
    </row>
    <row r="94" spans="3:15" customFormat="1">
      <c r="G94" s="1452" t="str">
        <f>home_address</f>
        <v>www.tykoh.com</v>
      </c>
      <c r="H94" s="1452"/>
      <c r="I94" s="1452"/>
      <c r="J94" s="1452"/>
      <c r="K94" s="1452"/>
    </row>
    <row r="95" spans="3:15">
      <c r="L95" s="125"/>
      <c r="M95" s="125"/>
      <c r="N95" s="125"/>
    </row>
    <row r="96" spans="3:15" ht="12.75" hidden="1" customHeight="1">
      <c r="L96" s="125"/>
      <c r="M96" s="125"/>
      <c r="N96" s="125"/>
    </row>
    <row r="97" spans="12:14" ht="12.75" hidden="1" customHeight="1">
      <c r="L97" s="125"/>
      <c r="M97" s="125"/>
      <c r="N97" s="125"/>
    </row>
    <row r="98" spans="12:14" ht="12.75" hidden="1" customHeight="1">
      <c r="L98" s="125"/>
      <c r="M98" s="125"/>
      <c r="N98" s="125"/>
    </row>
    <row r="99" spans="12:14" ht="12.75" hidden="1" customHeight="1">
      <c r="L99" s="125"/>
      <c r="M99" s="125"/>
      <c r="N99" s="125"/>
    </row>
    <row r="100" spans="12:14" ht="12.75" hidden="1" customHeight="1">
      <c r="L100" s="125"/>
      <c r="M100" s="125"/>
      <c r="N100" s="125"/>
    </row>
    <row r="101" spans="12:14" ht="12.75" hidden="1" customHeight="1">
      <c r="L101" s="125"/>
      <c r="M101" s="125"/>
      <c r="N101" s="125"/>
    </row>
    <row r="102" spans="12:14" ht="12.75" hidden="1" customHeight="1">
      <c r="L102" s="125"/>
      <c r="M102" s="125"/>
      <c r="N102" s="125"/>
    </row>
    <row r="103" spans="12:14" ht="12.75" hidden="1" customHeight="1">
      <c r="L103" s="125"/>
      <c r="M103" s="125"/>
      <c r="N103" s="125"/>
    </row>
    <row r="104" spans="12:14" hidden="1">
      <c r="L104" s="125"/>
      <c r="M104" s="125"/>
      <c r="N104" s="125"/>
    </row>
    <row r="105" spans="12:14" hidden="1">
      <c r="L105" s="125"/>
      <c r="M105" s="125"/>
      <c r="N105" s="125"/>
    </row>
    <row r="106" spans="12:14" hidden="1">
      <c r="L106" s="125"/>
      <c r="M106" s="125"/>
      <c r="N106" s="125"/>
    </row>
    <row r="107" spans="12:14" hidden="1">
      <c r="L107" s="125"/>
      <c r="M107" s="125"/>
      <c r="N107" s="125"/>
    </row>
    <row r="108" spans="12:14" hidden="1">
      <c r="L108" s="125"/>
      <c r="M108" s="125"/>
      <c r="N108" s="125"/>
    </row>
    <row r="109" spans="12:14" hidden="1">
      <c r="L109" s="125"/>
      <c r="M109" s="125"/>
      <c r="N109" s="125"/>
    </row>
  </sheetData>
  <sheetProtection algorithmName="SHA-512" hashValue="qoTNxG3/bnJSjRnk2ohdlEDY7/ON0I6VcE8KIiBLGdXx7zZIv1xeGFnaY1QU7OrL5Avs1kvukY3R4LB7O1r+qg==" saltValue="tJ7jDkB8K1SpL9tW0+SqPQ==" spinCount="100000" sheet="1" objects="1" scenarios="1"/>
  <mergeCells count="16">
    <mergeCell ref="C3:N3"/>
    <mergeCell ref="N92:O92"/>
    <mergeCell ref="C33:N35"/>
    <mergeCell ref="C25:N29"/>
    <mergeCell ref="G92:K92"/>
    <mergeCell ref="C5:L6"/>
    <mergeCell ref="M4:O8"/>
    <mergeCell ref="D55:K56"/>
    <mergeCell ref="C15:O18"/>
    <mergeCell ref="C20:O21"/>
    <mergeCell ref="M36:O40"/>
    <mergeCell ref="C58:G58"/>
    <mergeCell ref="G93:K93"/>
    <mergeCell ref="G94:K94"/>
    <mergeCell ref="C92:D92"/>
    <mergeCell ref="C84:I87"/>
  </mergeCells>
  <phoneticPr fontId="2" type="noConversion"/>
  <conditionalFormatting sqref="D55:K56">
    <cfRule type="expression" dxfId="22" priority="1" stopIfTrue="1">
      <formula>$K$54=1</formula>
    </cfRule>
    <cfRule type="expression" dxfId="21" priority="2" stopIfTrue="1">
      <formula>$K$54=2</formula>
    </cfRule>
  </conditionalFormatting>
  <dataValidations count="1">
    <dataValidation type="list" allowBlank="1" showInputMessage="1" showErrorMessage="1" sqref="F49" xr:uid="{00000000-0002-0000-3600-000000000000}">
      <formula1>"34,35,36,37,38"</formula1>
    </dataValidation>
  </dataValidations>
  <hyperlinks>
    <hyperlink ref="N92:O92" location="hh_Ex_1" display="hh_Ex_1" xr:uid="{00000000-0004-0000-3600-000000000000}"/>
    <hyperlink ref="C92:D92" location="hh_index" display="hh_index" xr:uid="{00000000-0004-0000-3600-000001000000}"/>
    <hyperlink ref="G94:K94" r:id="rId1" display="https://www.tykoh.com/" xr:uid="{00000000-0004-0000-3600-000002000000}"/>
  </hyperlinks>
  <pageMargins left="0.75" right="0.75" top="1" bottom="1" header="0.5" footer="0.5"/>
  <pageSetup scale="74" orientation="portrait" r:id="rId2"/>
  <headerFooter alignWithMargins="0"/>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6">
    <pageSetUpPr fitToPage="1"/>
  </sheetPr>
  <dimension ref="C1:O84"/>
  <sheetViews>
    <sheetView showGridLines="0" showRowColHeaders="0" topLeftCell="A81" workbookViewId="0">
      <selection activeCell="G83" sqref="G83:K83"/>
    </sheetView>
  </sheetViews>
  <sheetFormatPr defaultColWidth="0" defaultRowHeight="12.5" zeroHeight="1"/>
  <cols>
    <col min="1" max="2" width="1" customWidth="1"/>
    <col min="3" max="15" width="8.7265625" customWidth="1"/>
    <col min="16" max="16" width="1.81640625" customWidth="1"/>
  </cols>
  <sheetData>
    <row r="1" spans="3:15"/>
    <row r="2" spans="3:15">
      <c r="C2" s="105"/>
      <c r="D2" s="105"/>
      <c r="E2" s="105"/>
      <c r="F2" s="105"/>
      <c r="G2" s="105"/>
      <c r="H2" s="105"/>
      <c r="I2" s="105"/>
      <c r="J2" s="105"/>
      <c r="K2" s="105"/>
      <c r="L2" s="105"/>
      <c r="M2" s="105"/>
      <c r="N2" s="105"/>
      <c r="O2" s="105"/>
    </row>
    <row r="3" spans="3:15" s="32" customFormat="1" ht="16" thickBot="1">
      <c r="C3" s="416" t="s">
        <v>42</v>
      </c>
      <c r="M3" s="1100"/>
      <c r="N3" s="1100"/>
      <c r="O3" s="1100"/>
    </row>
    <row r="4" spans="3:15" s="32" customFormat="1" ht="16" thickTop="1">
      <c r="C4" s="416"/>
      <c r="M4" s="1506" t="str">
        <f ca="1">OFFSET(ad_first,OFFSET(ads_top,ROW(ads_Ex_3)-1,1),0)</f>
        <v>Our Visual Basic course shows how to automate routine work and save the time and trouble of doing the same thing over and over</v>
      </c>
      <c r="N4" s="1507"/>
      <c r="O4" s="1508"/>
    </row>
    <row r="5" spans="3:15" s="32" customFormat="1" ht="13">
      <c r="C5" s="772" t="s">
        <v>140</v>
      </c>
      <c r="M5" s="1509"/>
      <c r="N5" s="1510"/>
      <c r="O5" s="1511"/>
    </row>
    <row r="6" spans="3:15" s="32" customFormat="1">
      <c r="C6" s="1585" t="s">
        <v>1051</v>
      </c>
      <c r="D6" s="1585"/>
      <c r="E6" s="1585"/>
      <c r="F6" s="1585"/>
      <c r="G6" s="1585"/>
      <c r="H6" s="1585"/>
      <c r="I6" s="1585"/>
      <c r="J6" s="1585"/>
      <c r="K6" s="1585"/>
      <c r="L6" s="1585"/>
      <c r="M6" s="1509"/>
      <c r="N6" s="1510"/>
      <c r="O6" s="1511"/>
    </row>
    <row r="7" spans="3:15" s="32" customFormat="1">
      <c r="C7" s="1585"/>
      <c r="D7" s="1585"/>
      <c r="E7" s="1585"/>
      <c r="F7" s="1585"/>
      <c r="G7" s="1585"/>
      <c r="H7" s="1585"/>
      <c r="I7" s="1585"/>
      <c r="J7" s="1585"/>
      <c r="K7" s="1585"/>
      <c r="L7" s="1585"/>
      <c r="M7" s="1509"/>
      <c r="N7" s="1510"/>
      <c r="O7" s="1511"/>
    </row>
    <row r="8" spans="3:15" s="32" customFormat="1" ht="13" thickBot="1">
      <c r="M8" s="1512"/>
      <c r="N8" s="1513"/>
      <c r="O8" s="1514"/>
    </row>
    <row r="9" spans="3:15" s="32" customFormat="1" ht="13.5" thickTop="1">
      <c r="C9" s="772" t="str">
        <f>degree_of_difficulty</f>
        <v>Degree of difficulty (1=easy, 10=extremely difficult)</v>
      </c>
      <c r="M9" s="1344"/>
      <c r="N9" s="1344"/>
      <c r="O9" s="1344"/>
    </row>
    <row r="10" spans="3:15" s="32" customFormat="1">
      <c r="C10" s="1026">
        <v>5</v>
      </c>
      <c r="M10" s="1344"/>
      <c r="N10" s="1344"/>
      <c r="O10" s="1344"/>
    </row>
    <row r="11" spans="3:15" s="32" customFormat="1">
      <c r="M11" s="1344"/>
      <c r="N11" s="1344"/>
      <c r="O11" s="1344"/>
    </row>
    <row r="12" spans="3:15" s="32" customFormat="1" ht="13">
      <c r="C12" s="772" t="s">
        <v>890</v>
      </c>
      <c r="M12" s="1100"/>
      <c r="N12" s="1100"/>
      <c r="O12" s="1100"/>
    </row>
    <row r="13" spans="3:15" s="32" customFormat="1">
      <c r="C13" s="1585" t="str">
        <f>"In cell " &amp; ADDRESS(ROW(20:20),COLUMN(L$3:L$80),4) &amp; " put a formula that gives the number of times the departmental performances were between the levels selected in the blue cells on row " &amp; ROW(20:20)&amp;".  For example, if the user selects B and D (or D and B) then the formula should return the number of times performances were B,C or D."</f>
        <v>In cell L20 put a formula that gives the number of times the departmental performances were between the levels selected in the blue cells on row 20.  For example, if the user selects B and D (or D and B) then the formula should return the number of times performances were B,C or D.</v>
      </c>
      <c r="D13" s="1518"/>
      <c r="E13" s="1518"/>
      <c r="F13" s="1518"/>
      <c r="G13" s="1518"/>
      <c r="H13" s="1518"/>
      <c r="I13" s="1518"/>
      <c r="J13" s="1518"/>
      <c r="K13" s="1518"/>
      <c r="L13" s="1518"/>
      <c r="M13" s="1518"/>
      <c r="N13" s="1518"/>
      <c r="O13" s="1518"/>
    </row>
    <row r="14" spans="3:15" s="32" customFormat="1">
      <c r="C14" s="1518"/>
      <c r="D14" s="1518"/>
      <c r="E14" s="1518"/>
      <c r="F14" s="1518"/>
      <c r="G14" s="1518"/>
      <c r="H14" s="1518"/>
      <c r="I14" s="1518"/>
      <c r="J14" s="1518"/>
      <c r="K14" s="1518"/>
      <c r="L14" s="1518"/>
      <c r="M14" s="1518"/>
      <c r="N14" s="1518"/>
      <c r="O14" s="1518"/>
    </row>
    <row r="15" spans="3:15" s="32" customFormat="1"/>
    <row r="16" spans="3:15" s="32" customFormat="1">
      <c r="C16" s="857"/>
      <c r="D16" s="857" t="str">
        <f t="shared" ref="D16:L16" si="0">CHAR(CODE("A")+COLUMN(D$3:D$80)-1)</f>
        <v>D</v>
      </c>
      <c r="E16" s="857" t="str">
        <f t="shared" si="0"/>
        <v>E</v>
      </c>
      <c r="F16" s="857" t="str">
        <f t="shared" si="0"/>
        <v>F</v>
      </c>
      <c r="G16" s="857" t="str">
        <f t="shared" si="0"/>
        <v>G</v>
      </c>
      <c r="H16" s="857" t="str">
        <f t="shared" si="0"/>
        <v>H</v>
      </c>
      <c r="I16" s="857" t="str">
        <f t="shared" si="0"/>
        <v>I</v>
      </c>
      <c r="J16" s="857" t="str">
        <f t="shared" si="0"/>
        <v>J</v>
      </c>
      <c r="K16" s="857" t="str">
        <f t="shared" si="0"/>
        <v>K</v>
      </c>
      <c r="L16" s="857" t="str">
        <f t="shared" si="0"/>
        <v>L</v>
      </c>
    </row>
    <row r="17" spans="3:12" s="32" customFormat="1">
      <c r="C17" s="857">
        <f t="shared" ref="C17:C30" si="1">ROW(17:17)</f>
        <v>17</v>
      </c>
      <c r="D17" s="791" t="s">
        <v>1055</v>
      </c>
      <c r="E17" s="791"/>
      <c r="F17" s="791"/>
      <c r="G17" s="1088">
        <v>40087</v>
      </c>
      <c r="H17" s="1088">
        <v>40118</v>
      </c>
      <c r="I17" s="1088">
        <v>40148</v>
      </c>
      <c r="J17" s="1088">
        <v>40179</v>
      </c>
      <c r="K17" s="1088">
        <v>40210</v>
      </c>
      <c r="L17" s="1088">
        <v>40238</v>
      </c>
    </row>
    <row r="18" spans="3:12" s="32" customFormat="1">
      <c r="C18" s="857">
        <f t="shared" si="1"/>
        <v>18</v>
      </c>
      <c r="D18" s="791" t="s">
        <v>32</v>
      </c>
      <c r="E18" s="791"/>
      <c r="F18" s="791"/>
      <c r="G18" s="857" t="s">
        <v>1363</v>
      </c>
      <c r="H18" s="857" t="s">
        <v>1364</v>
      </c>
      <c r="I18" s="857" t="s">
        <v>1473</v>
      </c>
      <c r="J18" s="857" t="s">
        <v>1364</v>
      </c>
      <c r="K18" s="857" t="s">
        <v>1474</v>
      </c>
      <c r="L18" s="857" t="s">
        <v>1473</v>
      </c>
    </row>
    <row r="19" spans="3:12" s="32" customFormat="1">
      <c r="C19" s="857">
        <f t="shared" si="1"/>
        <v>19</v>
      </c>
      <c r="D19" s="791"/>
      <c r="E19" s="791"/>
      <c r="F19" s="791"/>
      <c r="G19" s="791"/>
      <c r="H19" s="791"/>
      <c r="I19" s="791"/>
      <c r="J19" s="791"/>
      <c r="K19" s="791"/>
      <c r="L19" s="791"/>
    </row>
    <row r="20" spans="3:12" s="32" customFormat="1" ht="13">
      <c r="C20" s="857">
        <f t="shared" si="1"/>
        <v>20</v>
      </c>
      <c r="D20" s="791" t="s">
        <v>30</v>
      </c>
      <c r="E20" s="791"/>
      <c r="F20" s="791"/>
      <c r="G20" s="791"/>
      <c r="H20" s="944" t="s">
        <v>1363</v>
      </c>
      <c r="I20" s="857" t="s">
        <v>31</v>
      </c>
      <c r="J20" s="1099"/>
      <c r="K20" s="1137" t="s">
        <v>1187</v>
      </c>
      <c r="L20" s="1137"/>
    </row>
    <row r="21" spans="3:12" s="32" customFormat="1">
      <c r="C21" s="857">
        <f t="shared" si="1"/>
        <v>21</v>
      </c>
      <c r="D21" s="791"/>
      <c r="E21" s="791"/>
      <c r="F21" s="791"/>
      <c r="G21" s="1136" t="s">
        <v>1056</v>
      </c>
      <c r="H21" s="944" t="s">
        <v>1364</v>
      </c>
      <c r="I21" s="791"/>
      <c r="J21" s="791"/>
      <c r="K21" s="791"/>
      <c r="L21" s="791"/>
    </row>
    <row r="22" spans="3:12" s="32" customFormat="1" ht="13">
      <c r="C22" s="857">
        <f t="shared" si="1"/>
        <v>22</v>
      </c>
      <c r="D22" s="1142" t="s">
        <v>1206</v>
      </c>
      <c r="E22" s="1143"/>
      <c r="F22" s="1143"/>
      <c r="G22" s="1143"/>
      <c r="H22" s="1143"/>
      <c r="I22" s="1143"/>
      <c r="J22" s="1143"/>
      <c r="K22" s="1143"/>
      <c r="L22" s="1143"/>
    </row>
    <row r="23" spans="3:12" s="32" customFormat="1">
      <c r="C23" s="857">
        <f t="shared" si="1"/>
        <v>23</v>
      </c>
      <c r="D23" s="994"/>
      <c r="E23" s="994"/>
      <c r="F23" s="994"/>
      <c r="G23" s="994"/>
      <c r="H23" s="994"/>
      <c r="I23" s="994"/>
      <c r="J23" s="994"/>
      <c r="K23" s="994"/>
      <c r="L23" s="994"/>
    </row>
    <row r="24" spans="3:12" s="32" customFormat="1">
      <c r="C24" s="857">
        <f t="shared" si="1"/>
        <v>24</v>
      </c>
      <c r="D24" s="994"/>
      <c r="E24" s="994"/>
      <c r="F24" s="994"/>
      <c r="G24" s="994"/>
      <c r="H24" s="994"/>
      <c r="I24" s="994"/>
      <c r="J24" s="994"/>
      <c r="K24" s="994"/>
      <c r="L24" s="994"/>
    </row>
    <row r="25" spans="3:12" s="32" customFormat="1">
      <c r="C25" s="857">
        <f t="shared" si="1"/>
        <v>25</v>
      </c>
      <c r="D25" s="994"/>
      <c r="E25" s="994"/>
      <c r="F25" s="994"/>
      <c r="G25" s="994"/>
      <c r="H25" s="994"/>
      <c r="I25" s="994"/>
      <c r="J25" s="994"/>
      <c r="K25" s="994"/>
      <c r="L25" s="994"/>
    </row>
    <row r="26" spans="3:12" s="32" customFormat="1">
      <c r="C26" s="857">
        <f t="shared" si="1"/>
        <v>26</v>
      </c>
      <c r="D26" s="791"/>
      <c r="E26" s="791"/>
      <c r="F26" s="791"/>
      <c r="G26" s="791"/>
      <c r="H26" s="791"/>
      <c r="I26" s="791"/>
      <c r="J26" s="791"/>
      <c r="K26" s="791"/>
      <c r="L26" s="791"/>
    </row>
    <row r="27" spans="3:12" s="32" customFormat="1" ht="13">
      <c r="C27" s="857">
        <f t="shared" si="1"/>
        <v>27</v>
      </c>
      <c r="D27" s="946" t="s">
        <v>889</v>
      </c>
      <c r="E27" s="791"/>
      <c r="F27" s="791"/>
      <c r="G27" s="791"/>
      <c r="H27" s="791"/>
      <c r="I27" s="791"/>
      <c r="J27" s="791"/>
      <c r="K27" s="791"/>
      <c r="L27" s="791"/>
    </row>
    <row r="28" spans="3:12" s="32" customFormat="1">
      <c r="C28" s="857">
        <f t="shared" si="1"/>
        <v>28</v>
      </c>
      <c r="D28" s="1719" t="str">
        <f>CHOOSE(E36,D71,answer_complete,answer_correct)</f>
        <v>Please complete the answer.</v>
      </c>
      <c r="E28" s="1719"/>
      <c r="F28" s="1719"/>
      <c r="G28" s="1719"/>
      <c r="H28" s="1719"/>
      <c r="I28" s="1719"/>
      <c r="J28" s="1719"/>
      <c r="K28" s="1719"/>
      <c r="L28" s="1719"/>
    </row>
    <row r="29" spans="3:12" s="32" customFormat="1">
      <c r="C29" s="857">
        <f t="shared" si="1"/>
        <v>29</v>
      </c>
      <c r="D29" s="1719"/>
      <c r="E29" s="1719"/>
      <c r="F29" s="1719"/>
      <c r="G29" s="1719"/>
      <c r="H29" s="1719"/>
      <c r="I29" s="1719"/>
      <c r="J29" s="1719"/>
      <c r="K29" s="1719"/>
      <c r="L29" s="1719"/>
    </row>
    <row r="30" spans="3:12" s="32" customFormat="1">
      <c r="C30" s="857">
        <f t="shared" si="1"/>
        <v>30</v>
      </c>
      <c r="D30" s="899"/>
      <c r="E30" s="899"/>
      <c r="F30" s="899"/>
      <c r="G30" s="899"/>
      <c r="H30" s="899"/>
      <c r="I30" s="899"/>
      <c r="J30" s="899"/>
      <c r="K30" s="899"/>
      <c r="L30" s="899"/>
    </row>
    <row r="31" spans="3:12" s="32" customFormat="1"/>
    <row r="32" spans="3:12" s="32" customFormat="1" ht="12.75" customHeight="1">
      <c r="C32" s="1754" t="str">
        <f>see_summary</f>
        <v>[See summary of answer status of all exercises].</v>
      </c>
      <c r="D32" s="1468"/>
      <c r="E32" s="1468"/>
      <c r="F32" s="1468"/>
      <c r="G32" s="1468"/>
    </row>
    <row r="33" spans="4:11" s="32" customFormat="1" ht="12.75" customHeight="1"/>
    <row r="34" spans="4:11" s="32" customFormat="1" hidden="1">
      <c r="D34" s="32" t="s">
        <v>912</v>
      </c>
      <c r="F34" s="32">
        <f>COUNTIF(G18:L18,"&gt;="&amp;IF(H20&lt;H21,H20,H21))-COUNTIF(G18:L18,"&gt;"&amp;IF(H20&lt;H21,H21,H20))</f>
        <v>3</v>
      </c>
    </row>
    <row r="35" spans="4:11" s="32" customFormat="1" hidden="1">
      <c r="G35" s="635" t="s">
        <v>917</v>
      </c>
      <c r="H35" s="102"/>
      <c r="I35" s="102"/>
      <c r="J35" s="102"/>
      <c r="K35" s="1098"/>
    </row>
    <row r="36" spans="4:11" s="32" customFormat="1" hidden="1">
      <c r="D36" s="32" t="s">
        <v>426</v>
      </c>
      <c r="E36" s="32">
        <f>IF(G78,2,IF(G79,3,1))</f>
        <v>2</v>
      </c>
      <c r="G36" s="1093">
        <f>F34</f>
        <v>3</v>
      </c>
      <c r="H36" s="1096" t="s">
        <v>1363</v>
      </c>
      <c r="I36" s="1096" t="s">
        <v>1364</v>
      </c>
      <c r="J36" s="1096" t="s">
        <v>1473</v>
      </c>
      <c r="K36" s="1097" t="s">
        <v>1474</v>
      </c>
    </row>
    <row r="37" spans="4:11" s="32" customFormat="1" hidden="1">
      <c r="G37" s="201" t="s">
        <v>1363</v>
      </c>
      <c r="H37" s="33">
        <f t="dataTable" ref="H37:K40" dt2D="1" dtr="0" r1="H20" r2="H21"/>
        <v>1</v>
      </c>
      <c r="I37" s="33">
        <v>3</v>
      </c>
      <c r="J37" s="33">
        <v>5</v>
      </c>
      <c r="K37" s="646">
        <v>6</v>
      </c>
    </row>
    <row r="38" spans="4:11" s="32" customFormat="1" hidden="1">
      <c r="G38" s="201" t="s">
        <v>1364</v>
      </c>
      <c r="H38" s="33">
        <v>3</v>
      </c>
      <c r="I38" s="33">
        <v>2</v>
      </c>
      <c r="J38" s="33">
        <v>4</v>
      </c>
      <c r="K38" s="646">
        <v>5</v>
      </c>
    </row>
    <row r="39" spans="4:11" s="32" customFormat="1" hidden="1">
      <c r="G39" s="201" t="s">
        <v>1473</v>
      </c>
      <c r="H39" s="33">
        <v>5</v>
      </c>
      <c r="I39" s="33">
        <v>4</v>
      </c>
      <c r="J39" s="33">
        <v>2</v>
      </c>
      <c r="K39" s="646">
        <v>3</v>
      </c>
    </row>
    <row r="40" spans="4:11" s="32" customFormat="1" hidden="1">
      <c r="G40" s="686" t="s">
        <v>1474</v>
      </c>
      <c r="H40" s="687">
        <v>6</v>
      </c>
      <c r="I40" s="687">
        <v>5</v>
      </c>
      <c r="J40" s="687">
        <v>3</v>
      </c>
      <c r="K40" s="688">
        <v>1</v>
      </c>
    </row>
    <row r="41" spans="4:11" s="32" customFormat="1" hidden="1"/>
    <row r="42" spans="4:11" s="32" customFormat="1" hidden="1"/>
    <row r="43" spans="4:11" s="32" customFormat="1" hidden="1">
      <c r="G43" s="635" t="s">
        <v>918</v>
      </c>
      <c r="H43" s="102"/>
      <c r="I43" s="102"/>
      <c r="J43" s="102"/>
      <c r="K43" s="1098"/>
    </row>
    <row r="44" spans="4:11" s="32" customFormat="1" hidden="1">
      <c r="G44" s="1093">
        <f>J20</f>
        <v>0</v>
      </c>
      <c r="H44" s="1096" t="s">
        <v>1363</v>
      </c>
      <c r="I44" s="1096" t="s">
        <v>1364</v>
      </c>
      <c r="J44" s="1096" t="s">
        <v>1473</v>
      </c>
      <c r="K44" s="1097" t="s">
        <v>1474</v>
      </c>
    </row>
    <row r="45" spans="4:11" s="32" customFormat="1" hidden="1">
      <c r="G45" s="201" t="s">
        <v>1363</v>
      </c>
      <c r="H45" s="33">
        <f t="dataTable" ref="H45:K48" dt2D="1" dtr="0" r1="H20" r2="H21"/>
        <v>0</v>
      </c>
      <c r="I45" s="33">
        <v>0</v>
      </c>
      <c r="J45" s="33">
        <v>0</v>
      </c>
      <c r="K45" s="646">
        <v>0</v>
      </c>
    </row>
    <row r="46" spans="4:11" s="32" customFormat="1" hidden="1">
      <c r="G46" s="201" t="s">
        <v>1364</v>
      </c>
      <c r="H46" s="33">
        <v>0</v>
      </c>
      <c r="I46" s="33">
        <v>0</v>
      </c>
      <c r="J46" s="33">
        <v>0</v>
      </c>
      <c r="K46" s="646">
        <v>0</v>
      </c>
    </row>
    <row r="47" spans="4:11" s="32" customFormat="1" hidden="1">
      <c r="G47" s="201" t="s">
        <v>1473</v>
      </c>
      <c r="H47" s="33">
        <v>0</v>
      </c>
      <c r="I47" s="33">
        <v>0</v>
      </c>
      <c r="J47" s="33">
        <v>0</v>
      </c>
      <c r="K47" s="646">
        <v>0</v>
      </c>
    </row>
    <row r="48" spans="4:11" s="32" customFormat="1" hidden="1">
      <c r="G48" s="686" t="s">
        <v>1474</v>
      </c>
      <c r="H48" s="687">
        <v>0</v>
      </c>
      <c r="I48" s="687">
        <v>0</v>
      </c>
      <c r="J48" s="687">
        <v>0</v>
      </c>
      <c r="K48" s="688">
        <v>0</v>
      </c>
    </row>
    <row r="49" spans="4:14" s="32" customFormat="1" hidden="1"/>
    <row r="50" spans="4:14" s="32" customFormat="1" hidden="1">
      <c r="L50" s="1093" t="s">
        <v>919</v>
      </c>
      <c r="M50" s="1094"/>
      <c r="N50" s="1095"/>
    </row>
    <row r="51" spans="4:14" s="32" customFormat="1" hidden="1">
      <c r="D51" s="1518" t="s">
        <v>1207</v>
      </c>
      <c r="E51" s="1518"/>
      <c r="F51" s="1518"/>
      <c r="G51" s="1518"/>
      <c r="H51" s="1518"/>
      <c r="I51" s="1518"/>
      <c r="J51" s="1518"/>
      <c r="L51" s="201" t="s">
        <v>920</v>
      </c>
      <c r="M51" s="33">
        <f>IF(H37&lt;&gt;H45,1,0)</f>
        <v>1</v>
      </c>
      <c r="N51" s="646"/>
    </row>
    <row r="52" spans="4:14" s="32" customFormat="1" hidden="1">
      <c r="D52" s="1518"/>
      <c r="E52" s="1518"/>
      <c r="F52" s="1518"/>
      <c r="G52" s="1518"/>
      <c r="H52" s="1518"/>
      <c r="I52" s="1518"/>
      <c r="J52" s="1518"/>
      <c r="L52" s="201"/>
      <c r="M52" s="33">
        <f>IF(H38&lt;&gt;H46,1,0)</f>
        <v>1</v>
      </c>
      <c r="N52" s="646"/>
    </row>
    <row r="53" spans="4:14" s="32" customFormat="1" hidden="1">
      <c r="L53" s="201"/>
      <c r="M53" s="33">
        <f>IF(H39&lt;&gt;H47,1,0)</f>
        <v>1</v>
      </c>
      <c r="N53" s="646"/>
    </row>
    <row r="54" spans="4:14" s="32" customFormat="1" hidden="1">
      <c r="D54" s="32" t="s">
        <v>913</v>
      </c>
      <c r="L54" s="201"/>
      <c r="M54" s="33">
        <f>IF(H40&lt;&gt;H48,1,0)</f>
        <v>1</v>
      </c>
      <c r="N54" s="646"/>
    </row>
    <row r="55" spans="4:14" s="32" customFormat="1" hidden="1">
      <c r="L55" s="201" t="s">
        <v>921</v>
      </c>
      <c r="M55" s="33">
        <f>IF(I37&lt;&gt;I45,1,0)</f>
        <v>1</v>
      </c>
      <c r="N55" s="646"/>
    </row>
    <row r="56" spans="4:14" s="32" customFormat="1" hidden="1">
      <c r="D56" s="32" t="s">
        <v>914</v>
      </c>
      <c r="E56" s="32">
        <f>MATCH(H20,H36:K36,0)</f>
        <v>1</v>
      </c>
      <c r="L56" s="201"/>
      <c r="M56" s="33">
        <f>IF(I38&lt;&gt;I46,1,0)</f>
        <v>1</v>
      </c>
      <c r="N56" s="646"/>
    </row>
    <row r="57" spans="4:14" s="32" customFormat="1" hidden="1">
      <c r="D57" s="32" t="s">
        <v>915</v>
      </c>
      <c r="E57" s="32">
        <f>MATCH(H21,G37:G40,0)</f>
        <v>2</v>
      </c>
      <c r="L57" s="201"/>
      <c r="M57" s="33">
        <f>IF(I39&lt;&gt;I47,1,0)</f>
        <v>1</v>
      </c>
      <c r="N57" s="646"/>
    </row>
    <row r="58" spans="4:14" s="32" customFormat="1" hidden="1">
      <c r="L58" s="201"/>
      <c r="M58" s="33">
        <f>IF(I40&lt;&gt;I48,1,0)</f>
        <v>1</v>
      </c>
      <c r="N58" s="646"/>
    </row>
    <row r="59" spans="4:14" s="32" customFormat="1" hidden="1">
      <c r="D59" s="32" t="s">
        <v>916</v>
      </c>
      <c r="H59" s="32">
        <f ca="1">OFFSET(G36,E57,E56)</f>
        <v>3</v>
      </c>
      <c r="L59" s="201" t="s">
        <v>922</v>
      </c>
      <c r="M59" s="33">
        <f>IF(J37&lt;&gt;J45,1,0)</f>
        <v>1</v>
      </c>
      <c r="N59" s="646"/>
    </row>
    <row r="60" spans="4:14" s="32" customFormat="1" hidden="1">
      <c r="L60" s="201"/>
      <c r="M60" s="33">
        <f>IF(J38&lt;&gt;J46,1,0)</f>
        <v>1</v>
      </c>
      <c r="N60" s="646"/>
    </row>
    <row r="61" spans="4:14" s="32" customFormat="1" hidden="1">
      <c r="L61" s="201"/>
      <c r="M61" s="33">
        <f>IF(J39&lt;&gt;J47,1,0)</f>
        <v>1</v>
      </c>
      <c r="N61" s="646"/>
    </row>
    <row r="62" spans="4:14" s="32" customFormat="1" hidden="1">
      <c r="D62" s="635" t="s">
        <v>996</v>
      </c>
      <c r="E62" s="102"/>
      <c r="F62" s="102"/>
      <c r="G62" s="102"/>
      <c r="H62" s="102"/>
      <c r="I62" s="102"/>
      <c r="J62" s="1098"/>
      <c r="L62" s="201"/>
      <c r="M62" s="33">
        <f>IF(J40&lt;&gt;J48,1,0)</f>
        <v>1</v>
      </c>
      <c r="N62" s="646"/>
    </row>
    <row r="63" spans="4:14" s="32" customFormat="1" hidden="1">
      <c r="D63" s="635" t="str">
        <f ca="1">IF(H59&lt;&gt;J20,"Your answer is " &amp; J20 &amp; " but the correct answer is " &amp; H59&amp;".","")</f>
        <v>Your answer is  but the correct answer is 3.</v>
      </c>
      <c r="E63" s="102"/>
      <c r="F63" s="102"/>
      <c r="G63" s="102"/>
      <c r="H63" s="102"/>
      <c r="I63" s="102"/>
      <c r="J63" s="1098"/>
      <c r="L63" s="201" t="s">
        <v>923</v>
      </c>
      <c r="M63" s="33">
        <f>IF(K37&lt;&gt;K45,1,0)</f>
        <v>1</v>
      </c>
      <c r="N63" s="646"/>
    </row>
    <row r="64" spans="4:14" s="32" customFormat="1" hidden="1">
      <c r="L64" s="201"/>
      <c r="M64" s="33">
        <f>IF(K38&lt;&gt;K46,1,0)</f>
        <v>1</v>
      </c>
      <c r="N64" s="646"/>
    </row>
    <row r="65" spans="4:14" s="32" customFormat="1" hidden="1">
      <c r="D65" s="635" t="s">
        <v>995</v>
      </c>
      <c r="E65" s="102"/>
      <c r="F65" s="102"/>
      <c r="G65" s="102"/>
      <c r="H65" s="102"/>
      <c r="I65" s="102"/>
      <c r="J65" s="1098"/>
      <c r="L65" s="201"/>
      <c r="M65" s="33">
        <f>IF(K39&lt;&gt;K47,1,0)</f>
        <v>1</v>
      </c>
      <c r="N65" s="646"/>
    </row>
    <row r="66" spans="4:14" s="32" customFormat="1" hidden="1">
      <c r="D66" s="1771" t="b">
        <f>IF(J20=F34,"That answer is correct. But if the Performances chosen were " &amp; M73 &amp; " and  " &amp;M74&amp; " your answer would be " &amp; N76 &amp; " whereas the correct answer would be " &amp; N75&amp;".")</f>
        <v>0</v>
      </c>
      <c r="E66" s="1772"/>
      <c r="F66" s="1772"/>
      <c r="G66" s="1772"/>
      <c r="H66" s="1772"/>
      <c r="I66" s="1772"/>
      <c r="J66" s="1773"/>
      <c r="L66" s="201"/>
      <c r="M66" s="33">
        <f>IF(K40&lt;&gt;K48,1,0)</f>
        <v>1</v>
      </c>
      <c r="N66" s="646"/>
    </row>
    <row r="67" spans="4:14" s="32" customFormat="1" hidden="1">
      <c r="D67" s="1774"/>
      <c r="E67" s="1775"/>
      <c r="F67" s="1775"/>
      <c r="G67" s="1775"/>
      <c r="H67" s="1775"/>
      <c r="I67" s="1775"/>
      <c r="J67" s="1776"/>
      <c r="L67" s="686"/>
      <c r="M67" s="687"/>
      <c r="N67" s="688"/>
    </row>
    <row r="68" spans="4:14" s="32" customFormat="1" hidden="1">
      <c r="D68" s="1777"/>
      <c r="E68" s="1778"/>
      <c r="F68" s="1778"/>
      <c r="G68" s="1778"/>
      <c r="H68" s="1778"/>
      <c r="I68" s="1778"/>
      <c r="J68" s="1779"/>
      <c r="L68" s="32" t="s">
        <v>924</v>
      </c>
      <c r="N68" s="32">
        <f>MATCH(1,M51:M66,0)</f>
        <v>1</v>
      </c>
    </row>
    <row r="69" spans="4:14" s="32" customFormat="1" hidden="1">
      <c r="L69" s="32" t="s">
        <v>925</v>
      </c>
    </row>
    <row r="70" spans="4:14" s="32" customFormat="1" hidden="1">
      <c r="D70" s="635" t="s">
        <v>999</v>
      </c>
      <c r="E70" s="102"/>
      <c r="F70" s="102"/>
      <c r="G70" s="102"/>
      <c r="H70" s="102"/>
      <c r="I70" s="102"/>
      <c r="J70" s="1098"/>
      <c r="L70" s="32" t="s">
        <v>926</v>
      </c>
      <c r="N70" s="32">
        <f>INT(N68/4)</f>
        <v>0</v>
      </c>
    </row>
    <row r="71" spans="4:14" s="32" customFormat="1" hidden="1">
      <c r="D71" s="1763" t="str">
        <f ca="1">IF(J20&lt;&gt;H59,D63,D66)</f>
        <v>Your answer is  but the correct answer is 3.</v>
      </c>
      <c r="E71" s="1764"/>
      <c r="F71" s="1764"/>
      <c r="G71" s="1764"/>
      <c r="H71" s="1764"/>
      <c r="I71" s="1764"/>
      <c r="J71" s="1765"/>
      <c r="L71" s="32" t="s">
        <v>927</v>
      </c>
      <c r="N71" s="32">
        <f>N68-4*N70</f>
        <v>1</v>
      </c>
    </row>
    <row r="72" spans="4:14" s="32" customFormat="1" hidden="1">
      <c r="D72" s="1766"/>
      <c r="E72" s="1518"/>
      <c r="F72" s="1518"/>
      <c r="G72" s="1518"/>
      <c r="H72" s="1518"/>
      <c r="I72" s="1518"/>
      <c r="J72" s="1767"/>
    </row>
    <row r="73" spans="4:14" s="32" customFormat="1" hidden="1">
      <c r="D73" s="1768"/>
      <c r="E73" s="1769"/>
      <c r="F73" s="1769"/>
      <c r="G73" s="1769"/>
      <c r="H73" s="1769"/>
      <c r="I73" s="1769"/>
      <c r="J73" s="1770"/>
      <c r="L73" s="32" t="s">
        <v>928</v>
      </c>
      <c r="M73" s="32" t="str">
        <f>CHOOSE(N70+1,"A","B","C","D")</f>
        <v>A</v>
      </c>
    </row>
    <row r="74" spans="4:14" s="32" customFormat="1" hidden="1">
      <c r="L74" s="32" t="s">
        <v>929</v>
      </c>
      <c r="M74" s="32" t="str">
        <f>CHOOSE(N71,"A","B","C","D")</f>
        <v>A</v>
      </c>
    </row>
    <row r="75" spans="4:14" s="32" customFormat="1" hidden="1">
      <c r="D75" s="1518" t="s">
        <v>1207</v>
      </c>
      <c r="E75" s="1518"/>
      <c r="F75" s="1518"/>
      <c r="G75" s="1518"/>
      <c r="H75" s="1518"/>
      <c r="I75" s="1518"/>
      <c r="J75" s="1518"/>
      <c r="L75" s="32" t="s">
        <v>993</v>
      </c>
      <c r="N75" s="32">
        <f ca="1">OFFSET(G36,N71,N70+1)</f>
        <v>1</v>
      </c>
    </row>
    <row r="76" spans="4:14" s="32" customFormat="1" hidden="1">
      <c r="D76" s="1518"/>
      <c r="E76" s="1518"/>
      <c r="F76" s="1518"/>
      <c r="G76" s="1518"/>
      <c r="H76" s="1518"/>
      <c r="I76" s="1518"/>
      <c r="J76" s="1518"/>
      <c r="L76" s="32" t="s">
        <v>994</v>
      </c>
      <c r="N76" s="32">
        <f ca="1">OFFSET(G44,N71,N70+1)</f>
        <v>0</v>
      </c>
    </row>
    <row r="77" spans="4:14" s="32" customFormat="1" hidden="1"/>
    <row r="78" spans="4:14" s="32" customFormat="1" hidden="1">
      <c r="D78" s="32" t="s">
        <v>997</v>
      </c>
      <c r="G78" s="32" t="b">
        <f>LEN(J20)=0</f>
        <v>1</v>
      </c>
    </row>
    <row r="79" spans="4:14" s="32" customFormat="1" hidden="1">
      <c r="D79" s="32" t="s">
        <v>998</v>
      </c>
      <c r="G79" s="32" t="b">
        <f>ISNA(N68)</f>
        <v>0</v>
      </c>
    </row>
    <row r="80" spans="4:14" s="32" customFormat="1" hidden="1">
      <c r="D80" s="32" t="s">
        <v>1220</v>
      </c>
      <c r="G80" s="32" t="b">
        <f>AND(NOT(G78),NOT(G79))</f>
        <v>0</v>
      </c>
    </row>
    <row r="81" spans="3:15">
      <c r="C81" s="1697" t="str">
        <f>back_to_index</f>
        <v>Back to contents</v>
      </c>
      <c r="D81" s="1697"/>
      <c r="G81" s="1674" t="str">
        <f>page_prefix &amp; page_Ex_3&amp; page_suffix</f>
        <v>- Page 43 -</v>
      </c>
      <c r="H81" s="1674"/>
      <c r="I81" s="1674"/>
      <c r="J81" s="1703"/>
      <c r="K81" s="1703"/>
      <c r="M81" s="32"/>
      <c r="N81" s="1673" t="str">
        <f>back_to_top</f>
        <v>Back to top</v>
      </c>
      <c r="O81" s="1673"/>
    </row>
    <row r="82" spans="3:15">
      <c r="G82" s="1674" t="str">
        <f>copyright</f>
        <v>Copyright (c) 2009 Tykoh Group Pty Limited</v>
      </c>
      <c r="H82" s="1674"/>
      <c r="I82" s="1674"/>
      <c r="J82" s="1703"/>
      <c r="K82" s="1703"/>
    </row>
    <row r="83" spans="3:15">
      <c r="G83" s="1452" t="str">
        <f>home_address</f>
        <v>www.tykoh.com</v>
      </c>
      <c r="H83" s="1452"/>
      <c r="I83" s="1452"/>
      <c r="J83" s="1452"/>
      <c r="K83" s="1452"/>
    </row>
    <row r="84" spans="3:15"/>
  </sheetData>
  <sheetProtection algorithmName="SHA-512" hashValue="690YBKRp3QWBS5cZsTYDokpfgGZF+5EAG1ypy2SV7bu5aYP4GGJfM/ldRh1xPLVRPF4iq7oiNpz8AVzvkH1TVw==" saltValue="r2m0yzaA3YgrH1jzORpn4A==" spinCount="100000" sheet="1" objects="1" scenarios="1"/>
  <mergeCells count="14">
    <mergeCell ref="N81:O81"/>
    <mergeCell ref="G82:K82"/>
    <mergeCell ref="G83:K83"/>
    <mergeCell ref="D66:J68"/>
    <mergeCell ref="C81:D81"/>
    <mergeCell ref="G81:K81"/>
    <mergeCell ref="C6:L7"/>
    <mergeCell ref="M4:O8"/>
    <mergeCell ref="C13:O14"/>
    <mergeCell ref="D75:J76"/>
    <mergeCell ref="D28:L29"/>
    <mergeCell ref="D71:J73"/>
    <mergeCell ref="D51:J52"/>
    <mergeCell ref="C32:G32"/>
  </mergeCells>
  <phoneticPr fontId="2" type="noConversion"/>
  <conditionalFormatting sqref="D28:L29">
    <cfRule type="expression" dxfId="20" priority="1" stopIfTrue="1">
      <formula>$E$36=2</formula>
    </cfRule>
    <cfRule type="expression" dxfId="19" priority="2" stopIfTrue="1">
      <formula>$E$36=1</formula>
    </cfRule>
  </conditionalFormatting>
  <dataValidations count="1">
    <dataValidation type="list" allowBlank="1" showInputMessage="1" showErrorMessage="1" sqref="H20:H21" xr:uid="{00000000-0002-0000-3700-000000000000}">
      <formula1>"A,B,C,D"</formula1>
    </dataValidation>
  </dataValidations>
  <hyperlinks>
    <hyperlink ref="C32:G32" location="hh_Ex_Status" display="hh_Ex_Status" xr:uid="{00000000-0004-0000-3700-000000000000}"/>
    <hyperlink ref="N81:O81" location="hh_Ex_3" display="hh_Ex_3" xr:uid="{00000000-0004-0000-3700-000001000000}"/>
    <hyperlink ref="C81:D81" location="hh_index" display="hh_index" xr:uid="{00000000-0004-0000-3700-000002000000}"/>
    <hyperlink ref="G83:K83" r:id="rId1" display="https://www.tykoh.com/" xr:uid="{00000000-0004-0000-3700-000003000000}"/>
  </hyperlinks>
  <pageMargins left="0.75" right="0.75" top="1" bottom="1" header="0.5" footer="0.5"/>
  <pageSetup paperSize="9" scale="71" orientation="portrait" r:id="rId2"/>
  <headerFooter alignWithMargins="0"/>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3">
    <pageSetUpPr fitToPage="1"/>
  </sheetPr>
  <dimension ref="C1:O113"/>
  <sheetViews>
    <sheetView showGridLines="0" showRowColHeaders="0" workbookViewId="0"/>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467</v>
      </c>
    </row>
    <row r="4" spans="3:15" ht="13" thickTop="1">
      <c r="C4" s="1585" t="s">
        <v>303</v>
      </c>
      <c r="D4" s="1585"/>
      <c r="E4" s="1585"/>
      <c r="F4" s="1585"/>
      <c r="G4" s="1585"/>
      <c r="H4" s="1585"/>
      <c r="I4" s="1585"/>
      <c r="J4" s="1585"/>
      <c r="K4" s="1585"/>
      <c r="L4" s="776"/>
      <c r="M4" s="1545" t="str">
        <f ca="1">OFFSET(ad_first,OFFSET(ads_top,ROW(ads_Ex_Acc_Bal)-1,1),0)</f>
        <v>Learn the objectives, principles and methods of financial modelling by attending our financial modelling workshop</v>
      </c>
      <c r="N4" s="1689"/>
      <c r="O4" s="1690"/>
    </row>
    <row r="5" spans="3:15">
      <c r="C5" s="1585"/>
      <c r="D5" s="1585"/>
      <c r="E5" s="1585"/>
      <c r="F5" s="1585"/>
      <c r="G5" s="1585"/>
      <c r="H5" s="1585"/>
      <c r="I5" s="1585"/>
      <c r="J5" s="1585"/>
      <c r="K5" s="1585"/>
      <c r="L5" s="776"/>
      <c r="M5" s="1691"/>
      <c r="N5" s="1692"/>
      <c r="O5" s="1693"/>
    </row>
    <row r="6" spans="3:15">
      <c r="C6" s="1585"/>
      <c r="D6" s="1585"/>
      <c r="E6" s="1585"/>
      <c r="F6" s="1585"/>
      <c r="G6" s="1585"/>
      <c r="H6" s="1585"/>
      <c r="I6" s="1585"/>
      <c r="J6" s="1585"/>
      <c r="K6" s="1585"/>
      <c r="L6" s="776"/>
      <c r="M6" s="1691"/>
      <c r="N6" s="1692"/>
      <c r="O6" s="1693"/>
    </row>
    <row r="7" spans="3:15">
      <c r="M7" s="1691"/>
      <c r="N7" s="1692"/>
      <c r="O7" s="1693"/>
    </row>
    <row r="8" spans="3:15" ht="13.5" thickBot="1">
      <c r="C8" s="772" t="str">
        <f>degree_of_difficulty</f>
        <v>Degree of difficulty (1=easy, 10=extremely difficult)</v>
      </c>
      <c r="M8" s="1694"/>
      <c r="N8" s="1695"/>
      <c r="O8" s="1696"/>
    </row>
    <row r="9" spans="3:15" ht="13" thickTop="1">
      <c r="C9" s="1026">
        <v>2</v>
      </c>
    </row>
    <row r="10" spans="3:15"/>
    <row r="11" spans="3:15">
      <c r="C11" s="1585" t="s">
        <v>304</v>
      </c>
      <c r="D11" s="1585"/>
      <c r="E11" s="1585"/>
      <c r="F11" s="1585"/>
      <c r="G11" s="1585"/>
      <c r="H11" s="1585"/>
      <c r="I11" s="1585"/>
      <c r="J11" s="1585"/>
      <c r="K11" s="1585"/>
      <c r="L11" s="1585"/>
      <c r="M11" s="1585"/>
      <c r="N11" s="1585"/>
      <c r="O11" s="1585"/>
    </row>
    <row r="12" spans="3:15">
      <c r="C12" s="1585"/>
      <c r="D12" s="1585"/>
      <c r="E12" s="1585"/>
      <c r="F12" s="1585"/>
      <c r="G12" s="1585"/>
      <c r="H12" s="1585"/>
      <c r="I12" s="1585"/>
      <c r="J12" s="1585"/>
      <c r="K12" s="1585"/>
      <c r="L12" s="1585"/>
      <c r="M12" s="1585"/>
      <c r="N12" s="1585"/>
      <c r="O12" s="1585"/>
    </row>
    <row r="13" spans="3:15">
      <c r="C13" s="263"/>
      <c r="D13" s="263"/>
      <c r="E13" s="263"/>
      <c r="F13" s="263"/>
      <c r="G13" s="263"/>
      <c r="H13" s="263"/>
      <c r="I13" s="263"/>
      <c r="J13" s="263"/>
      <c r="K13" s="263"/>
      <c r="L13" s="263"/>
      <c r="M13" s="263"/>
      <c r="N13" s="263"/>
      <c r="O13" s="263"/>
    </row>
    <row r="14" spans="3:15">
      <c r="C14" s="1585" t="str">
        <f>"The initial balances in the two accounts are shown in cells " &amp; ADDRESS(ROW(35:35),COLUMN(G:G),4)&amp; " and " &amp; ADDRESS(ROW(36:36),COLUMN(G:G),4)&amp; ".  There is a limit on how much in debit account #1 can be.  That limit is shown (as a negative number) in cell " &amp; ADDRESS(ROW(33:33),COLUMN(G:G),4)&amp; "."</f>
        <v>The initial balances in the two accounts are shown in cells G35 and G36.  There is a limit on how much in debit account #1 can be.  That limit is shown (as a negative number) in cell G33.</v>
      </c>
      <c r="D14" s="1585"/>
      <c r="E14" s="1585"/>
      <c r="F14" s="1585"/>
      <c r="G14" s="1585"/>
      <c r="H14" s="1585"/>
      <c r="I14" s="1585"/>
      <c r="J14" s="1585"/>
      <c r="K14" s="1585"/>
      <c r="L14" s="1585"/>
      <c r="M14" s="1585"/>
      <c r="N14" s="1585"/>
      <c r="O14" s="1585"/>
    </row>
    <row r="15" spans="3:15">
      <c r="C15" s="1518"/>
      <c r="D15" s="1518"/>
      <c r="E15" s="1518"/>
      <c r="F15" s="1518"/>
      <c r="G15" s="1518"/>
      <c r="H15" s="1518"/>
      <c r="I15" s="1518"/>
      <c r="J15" s="1518"/>
      <c r="K15" s="1518"/>
      <c r="L15" s="1518"/>
      <c r="M15" s="1518"/>
      <c r="N15" s="1518"/>
      <c r="O15" s="1518"/>
    </row>
    <row r="16" spans="3:15">
      <c r="C16" s="263"/>
      <c r="D16" s="263"/>
      <c r="E16" s="263"/>
      <c r="F16" s="263"/>
      <c r="G16" s="263"/>
      <c r="H16" s="263"/>
      <c r="I16" s="263"/>
      <c r="J16" s="263"/>
      <c r="K16" s="263"/>
      <c r="L16" s="263"/>
      <c r="M16" s="263"/>
      <c r="N16" s="263"/>
      <c r="O16" s="263"/>
    </row>
    <row r="17" spans="3:15">
      <c r="C17" s="1585" t="str">
        <f>"Cell " &amp; ADDRESS(ROW(G38),COLUMN(G38),4) &amp; " defines a cash flow.  The cash flow can be positive (i.e. incoming) or it can be negative (i.e. going out).  If the cash is coming in then it needs to be deposited in one or both of Accounts #1 and #2."</f>
        <v>Cell G38 defines a cash flow.  The cash flow can be positive (i.e. incoming) or it can be negative (i.e. going out).  If the cash is coming in then it needs to be deposited in one or both of Accounts #1 and #2.</v>
      </c>
      <c r="D17" s="1585"/>
      <c r="E17" s="1585"/>
      <c r="F17" s="1585"/>
      <c r="G17" s="1585"/>
      <c r="H17" s="1585"/>
      <c r="I17" s="1585"/>
      <c r="J17" s="1585"/>
      <c r="K17" s="1585"/>
      <c r="L17" s="1585"/>
      <c r="M17" s="1585"/>
      <c r="N17" s="1585"/>
      <c r="O17" s="1585"/>
    </row>
    <row r="18" spans="3:15">
      <c r="C18" s="1585"/>
      <c r="D18" s="1585"/>
      <c r="E18" s="1585"/>
      <c r="F18" s="1585"/>
      <c r="G18" s="1585"/>
      <c r="H18" s="1585"/>
      <c r="I18" s="1585"/>
      <c r="J18" s="1585"/>
      <c r="K18" s="1585"/>
      <c r="L18" s="1585"/>
      <c r="M18" s="1585"/>
      <c r="N18" s="1585"/>
      <c r="O18" s="1585"/>
    </row>
    <row r="19" spans="3:15">
      <c r="C19" s="263"/>
      <c r="D19" s="263"/>
      <c r="E19" s="263"/>
      <c r="F19" s="263"/>
      <c r="G19" s="263"/>
      <c r="H19" s="263"/>
      <c r="I19" s="263"/>
      <c r="J19" s="263"/>
      <c r="K19" s="263"/>
      <c r="L19" s="263"/>
      <c r="M19" s="263"/>
      <c r="N19" s="263"/>
      <c r="O19" s="263"/>
    </row>
    <row r="20" spans="3:15">
      <c r="C20" s="1585" t="s">
        <v>306</v>
      </c>
      <c r="D20" s="1585"/>
      <c r="E20" s="1585"/>
      <c r="F20" s="1585"/>
      <c r="G20" s="1585"/>
      <c r="H20" s="1585"/>
      <c r="I20" s="1585"/>
      <c r="J20" s="1585"/>
      <c r="K20" s="1585"/>
      <c r="L20" s="1585"/>
      <c r="M20" s="1585"/>
      <c r="N20" s="1585"/>
      <c r="O20" s="1585"/>
    </row>
    <row r="21" spans="3:15">
      <c r="C21" s="1585"/>
      <c r="D21" s="1585"/>
      <c r="E21" s="1585"/>
      <c r="F21" s="1585"/>
      <c r="G21" s="1585"/>
      <c r="H21" s="1585"/>
      <c r="I21" s="1585"/>
      <c r="J21" s="1585"/>
      <c r="K21" s="1585"/>
      <c r="L21" s="1585"/>
      <c r="M21" s="1585"/>
      <c r="N21" s="1585"/>
      <c r="O21" s="1585"/>
    </row>
    <row r="22" spans="3:15">
      <c r="C22" s="1585"/>
      <c r="D22" s="1585"/>
      <c r="E22" s="1585"/>
      <c r="F22" s="1585"/>
      <c r="G22" s="1585"/>
      <c r="H22" s="1585"/>
      <c r="I22" s="1585"/>
      <c r="J22" s="1585"/>
      <c r="K22" s="1585"/>
      <c r="L22" s="1585"/>
      <c r="M22" s="1585"/>
      <c r="N22" s="1585"/>
      <c r="O22" s="1585"/>
    </row>
    <row r="23" spans="3:15">
      <c r="C23" s="1585"/>
      <c r="D23" s="1585"/>
      <c r="E23" s="1585"/>
      <c r="F23" s="1585"/>
      <c r="G23" s="1585"/>
      <c r="H23" s="1585"/>
      <c r="I23" s="1585"/>
      <c r="J23" s="1585"/>
      <c r="K23" s="1585"/>
      <c r="L23" s="1585"/>
      <c r="M23" s="1585"/>
      <c r="N23" s="1585"/>
      <c r="O23" s="1585"/>
    </row>
    <row r="24" spans="3:15">
      <c r="C24" s="1585" t="s">
        <v>307</v>
      </c>
      <c r="D24" s="1585"/>
      <c r="E24" s="1585"/>
      <c r="F24" s="1585"/>
      <c r="G24" s="1585"/>
      <c r="H24" s="1585"/>
      <c r="I24" s="1585"/>
      <c r="J24" s="1585"/>
      <c r="K24" s="1585"/>
      <c r="L24" s="1585"/>
      <c r="M24" s="1585"/>
      <c r="N24" s="1585"/>
      <c r="O24" s="1585"/>
    </row>
    <row r="25" spans="3:15">
      <c r="C25" s="1585"/>
      <c r="D25" s="1585"/>
      <c r="E25" s="1585"/>
      <c r="F25" s="1585"/>
      <c r="G25" s="1585"/>
      <c r="H25" s="1585"/>
      <c r="I25" s="1585"/>
      <c r="J25" s="1585"/>
      <c r="K25" s="1585"/>
      <c r="L25" s="1585"/>
      <c r="M25" s="1585"/>
      <c r="N25" s="1585"/>
      <c r="O25" s="1585"/>
    </row>
    <row r="26" spans="3:15">
      <c r="C26" s="1585"/>
      <c r="D26" s="1585"/>
      <c r="E26" s="1585"/>
      <c r="F26" s="1585"/>
      <c r="G26" s="1585"/>
      <c r="H26" s="1585"/>
      <c r="I26" s="1585"/>
      <c r="J26" s="1585"/>
      <c r="K26" s="1585"/>
      <c r="L26" s="1585"/>
      <c r="M26" s="1585"/>
      <c r="N26" s="1585"/>
      <c r="O26" s="1585"/>
    </row>
    <row r="27" spans="3:15">
      <c r="C27" s="1585" t="str">
        <f>"This is a rule that defines what needs to be done with a negative cash flow.  A withdrawal is made from Account #1 equal to the amount of the cash flow.  However, Account #1 cannot go into debit to more than the amount shown in cell " &amp; ADDRESS(ROW(G33),COLUMN(G33),4)&amp;"."</f>
        <v>This is a rule that defines what needs to be done with a negative cash flow.  A withdrawal is made from Account #1 equal to the amount of the cash flow.  However, Account #1 cannot go into debit to more than the amount shown in cell G33.</v>
      </c>
      <c r="D27" s="1585"/>
      <c r="E27" s="1585"/>
      <c r="F27" s="1585"/>
      <c r="G27" s="1585"/>
      <c r="H27" s="1585"/>
      <c r="I27" s="1585"/>
      <c r="J27" s="1585"/>
      <c r="K27" s="1585"/>
      <c r="L27" s="1585"/>
      <c r="M27" s="1585"/>
      <c r="N27" s="1585"/>
      <c r="O27" s="1585"/>
    </row>
    <row r="28" spans="3:15">
      <c r="C28" s="1585"/>
      <c r="D28" s="1585"/>
      <c r="E28" s="1585"/>
      <c r="F28" s="1585"/>
      <c r="G28" s="1585"/>
      <c r="H28" s="1585"/>
      <c r="I28" s="1585"/>
      <c r="J28" s="1585"/>
      <c r="K28" s="1585"/>
      <c r="L28" s="1585"/>
      <c r="M28" s="1585"/>
      <c r="N28" s="1585"/>
      <c r="O28" s="1585"/>
    </row>
    <row r="29" spans="3:15">
      <c r="C29" s="263"/>
      <c r="D29" s="263"/>
      <c r="E29" s="263"/>
      <c r="F29" s="263"/>
      <c r="G29" s="263"/>
      <c r="H29" s="263"/>
      <c r="I29" s="263"/>
      <c r="J29" s="263"/>
      <c r="K29" s="263"/>
      <c r="L29" s="263"/>
      <c r="M29" s="263"/>
      <c r="N29" s="263"/>
      <c r="O29" s="263"/>
    </row>
    <row r="30" spans="3:15">
      <c r="C30" s="1585" t="s">
        <v>308</v>
      </c>
      <c r="D30" s="1585"/>
      <c r="E30" s="1585"/>
      <c r="F30" s="1585"/>
      <c r="G30" s="1585"/>
      <c r="H30" s="1585"/>
      <c r="I30" s="1585"/>
      <c r="J30" s="1585"/>
      <c r="K30" s="1585"/>
      <c r="L30" s="1585"/>
      <c r="M30" s="1585"/>
      <c r="N30" s="1585"/>
      <c r="O30" s="1585"/>
    </row>
    <row r="31" spans="3:15">
      <c r="C31" s="1585"/>
      <c r="D31" s="1585"/>
      <c r="E31" s="1585"/>
      <c r="F31" s="1585"/>
      <c r="G31" s="1585"/>
      <c r="H31" s="1585"/>
      <c r="I31" s="1585"/>
      <c r="J31" s="1585"/>
      <c r="K31" s="1585"/>
      <c r="L31" s="1585"/>
      <c r="M31" s="1585"/>
      <c r="N31" s="1585"/>
      <c r="O31" s="1585"/>
    </row>
    <row r="32" spans="3:15">
      <c r="C32" s="857"/>
      <c r="D32" s="857" t="str">
        <f t="shared" ref="D32:N32" si="0">CHAR(CODE("A")+COLUMN(C:C))</f>
        <v>D</v>
      </c>
      <c r="E32" s="857" t="str">
        <f t="shared" si="0"/>
        <v>E</v>
      </c>
      <c r="F32" s="857" t="str">
        <f t="shared" si="0"/>
        <v>F</v>
      </c>
      <c r="G32" s="857" t="str">
        <f t="shared" si="0"/>
        <v>G</v>
      </c>
      <c r="H32" s="857" t="str">
        <f t="shared" si="0"/>
        <v>H</v>
      </c>
      <c r="I32" s="857" t="str">
        <f t="shared" si="0"/>
        <v>I</v>
      </c>
      <c r="J32" s="857" t="str">
        <f t="shared" si="0"/>
        <v>J</v>
      </c>
      <c r="K32" s="857" t="str">
        <f t="shared" si="0"/>
        <v>K</v>
      </c>
      <c r="L32" s="857" t="str">
        <f t="shared" si="0"/>
        <v>L</v>
      </c>
      <c r="M32" s="857" t="str">
        <f t="shared" si="0"/>
        <v>M</v>
      </c>
      <c r="N32" s="857" t="str">
        <f t="shared" si="0"/>
        <v>N</v>
      </c>
    </row>
    <row r="33" spans="3:14" ht="13">
      <c r="C33" s="857">
        <f>ROW(33:33)</f>
        <v>33</v>
      </c>
      <c r="D33" s="791" t="s">
        <v>1259</v>
      </c>
      <c r="E33" s="791"/>
      <c r="F33" s="791"/>
      <c r="G33" s="1388">
        <v>-30000</v>
      </c>
      <c r="H33" s="791"/>
      <c r="I33" s="946" t="s">
        <v>1206</v>
      </c>
      <c r="J33" s="791"/>
      <c r="K33" s="791"/>
      <c r="L33" s="791"/>
      <c r="M33" s="791"/>
      <c r="N33" s="791"/>
    </row>
    <row r="34" spans="3:14">
      <c r="C34" s="857">
        <f t="shared" ref="C34:C47" si="1">ROW(34:34)</f>
        <v>34</v>
      </c>
      <c r="D34" s="791"/>
      <c r="E34" s="791"/>
      <c r="F34" s="791"/>
      <c r="G34" s="1388"/>
      <c r="H34" s="791"/>
      <c r="I34" s="994" t="s">
        <v>305</v>
      </c>
      <c r="J34" s="994"/>
      <c r="K34" s="994"/>
      <c r="L34" s="994"/>
      <c r="M34" s="994"/>
      <c r="N34" s="994"/>
    </row>
    <row r="35" spans="3:14">
      <c r="C35" s="857">
        <f t="shared" si="1"/>
        <v>35</v>
      </c>
      <c r="D35" s="791" t="s">
        <v>1263</v>
      </c>
      <c r="E35" s="791"/>
      <c r="F35" s="791"/>
      <c r="G35" s="1388">
        <v>-17000</v>
      </c>
      <c r="H35" s="791"/>
      <c r="I35" s="994" t="s">
        <v>1277</v>
      </c>
      <c r="J35" s="994"/>
      <c r="K35" s="994"/>
      <c r="L35" s="994"/>
      <c r="M35" s="994"/>
      <c r="N35" s="994"/>
    </row>
    <row r="36" spans="3:14">
      <c r="C36" s="857">
        <f t="shared" si="1"/>
        <v>36</v>
      </c>
      <c r="D36" s="791" t="s">
        <v>1264</v>
      </c>
      <c r="E36" s="791"/>
      <c r="F36" s="791"/>
      <c r="G36" s="1388">
        <v>0</v>
      </c>
      <c r="H36" s="791"/>
      <c r="I36" s="994"/>
      <c r="J36" s="994"/>
      <c r="K36" s="994"/>
      <c r="L36" s="994"/>
      <c r="M36" s="994"/>
      <c r="N36" s="994"/>
    </row>
    <row r="37" spans="3:14">
      <c r="C37" s="857">
        <f t="shared" si="1"/>
        <v>37</v>
      </c>
      <c r="D37" s="791"/>
      <c r="E37" s="791"/>
      <c r="F37" s="791"/>
      <c r="G37" s="1388"/>
      <c r="H37" s="791"/>
      <c r="I37" s="994"/>
      <c r="J37" s="994"/>
      <c r="K37" s="994"/>
      <c r="L37" s="994"/>
      <c r="M37" s="994"/>
      <c r="N37" s="994"/>
    </row>
    <row r="38" spans="3:14">
      <c r="C38" s="857">
        <f t="shared" si="1"/>
        <v>38</v>
      </c>
      <c r="D38" s="791" t="s">
        <v>1262</v>
      </c>
      <c r="E38" s="791"/>
      <c r="F38" s="791"/>
      <c r="G38" s="1391">
        <v>20000</v>
      </c>
      <c r="H38" s="791"/>
      <c r="I38" s="994"/>
      <c r="J38" s="994"/>
      <c r="K38" s="994"/>
      <c r="L38" s="994"/>
      <c r="M38" s="994"/>
      <c r="N38" s="994"/>
    </row>
    <row r="39" spans="3:14">
      <c r="C39" s="857">
        <f t="shared" si="1"/>
        <v>39</v>
      </c>
      <c r="D39" s="791"/>
      <c r="E39" s="791"/>
      <c r="F39" s="791"/>
      <c r="G39" s="791"/>
      <c r="H39" s="791"/>
      <c r="I39" s="791"/>
      <c r="J39" s="791"/>
      <c r="K39" s="791"/>
      <c r="L39" s="791"/>
      <c r="M39" s="791"/>
      <c r="N39" s="791"/>
    </row>
    <row r="40" spans="3:14">
      <c r="C40" s="857">
        <f t="shared" si="1"/>
        <v>40</v>
      </c>
      <c r="D40" s="791" t="s">
        <v>1260</v>
      </c>
      <c r="E40" s="791"/>
      <c r="F40" s="791"/>
      <c r="G40" s="1408"/>
      <c r="H40" s="1719" t="str">
        <f>E98</f>
        <v>Please complete the answer.</v>
      </c>
      <c r="I40" s="1719"/>
      <c r="J40" s="1719"/>
      <c r="K40" s="1719"/>
      <c r="L40" s="1719"/>
      <c r="M40" s="1719"/>
      <c r="N40" s="1719"/>
    </row>
    <row r="41" spans="3:14" s="125" customFormat="1">
      <c r="C41" s="857">
        <f t="shared" si="1"/>
        <v>41</v>
      </c>
      <c r="D41" s="1143"/>
      <c r="E41" s="1143"/>
      <c r="F41" s="1143"/>
      <c r="G41" s="1389"/>
      <c r="H41" s="1719"/>
      <c r="I41" s="1719"/>
      <c r="J41" s="1719"/>
      <c r="K41" s="1719"/>
      <c r="L41" s="1719"/>
      <c r="M41" s="1719"/>
      <c r="N41" s="1719"/>
    </row>
    <row r="42" spans="3:14">
      <c r="C42" s="857">
        <f t="shared" si="1"/>
        <v>42</v>
      </c>
      <c r="D42" s="791" t="s">
        <v>1261</v>
      </c>
      <c r="E42" s="791"/>
      <c r="F42" s="791"/>
      <c r="G42" s="1408"/>
      <c r="H42" s="1719" t="str">
        <f>G98</f>
        <v>Please complete the answer.</v>
      </c>
      <c r="I42" s="1719"/>
      <c r="J42" s="1719"/>
      <c r="K42" s="1719"/>
      <c r="L42" s="1719"/>
      <c r="M42" s="1719"/>
      <c r="N42" s="1719"/>
    </row>
    <row r="43" spans="3:14">
      <c r="C43" s="857">
        <f t="shared" si="1"/>
        <v>43</v>
      </c>
      <c r="D43" s="791"/>
      <c r="E43" s="791"/>
      <c r="F43" s="791"/>
      <c r="G43" s="791"/>
      <c r="H43" s="1719"/>
      <c r="I43" s="1719"/>
      <c r="J43" s="1719"/>
      <c r="K43" s="1719"/>
      <c r="L43" s="1719"/>
      <c r="M43" s="1719"/>
      <c r="N43" s="1719"/>
    </row>
    <row r="44" spans="3:14">
      <c r="C44" s="857">
        <f t="shared" si="1"/>
        <v>44</v>
      </c>
      <c r="D44" s="791" t="s">
        <v>1283</v>
      </c>
      <c r="E44" s="791"/>
      <c r="F44" s="791"/>
      <c r="G44" s="1408"/>
      <c r="H44" s="1719" t="str">
        <f>I98</f>
        <v>Please complete the answer.</v>
      </c>
      <c r="I44" s="1719"/>
      <c r="J44" s="1719"/>
      <c r="K44" s="1719"/>
      <c r="L44" s="1719"/>
      <c r="M44" s="1719"/>
      <c r="N44" s="1719"/>
    </row>
    <row r="45" spans="3:14" s="125" customFormat="1">
      <c r="C45" s="857">
        <f t="shared" si="1"/>
        <v>45</v>
      </c>
      <c r="D45" s="1143"/>
      <c r="E45" s="1143"/>
      <c r="F45" s="1143"/>
      <c r="G45" s="1389"/>
      <c r="H45" s="1719"/>
      <c r="I45" s="1719"/>
      <c r="J45" s="1719"/>
      <c r="K45" s="1719"/>
      <c r="L45" s="1719"/>
      <c r="M45" s="1719"/>
      <c r="N45" s="1719"/>
    </row>
    <row r="46" spans="3:14">
      <c r="C46" s="857">
        <f t="shared" si="1"/>
        <v>46</v>
      </c>
      <c r="D46" s="791" t="s">
        <v>1284</v>
      </c>
      <c r="E46" s="791"/>
      <c r="F46" s="791"/>
      <c r="G46" s="1408"/>
      <c r="H46" s="1719" t="str">
        <f>K98</f>
        <v>Please complete the answer.</v>
      </c>
      <c r="I46" s="1719"/>
      <c r="J46" s="1719"/>
      <c r="K46" s="1719"/>
      <c r="L46" s="1719"/>
      <c r="M46" s="1719"/>
      <c r="N46" s="1719"/>
    </row>
    <row r="47" spans="3:14">
      <c r="C47" s="857">
        <f t="shared" si="1"/>
        <v>47</v>
      </c>
      <c r="D47" s="791"/>
      <c r="E47" s="791"/>
      <c r="F47" s="791"/>
      <c r="G47" s="791"/>
      <c r="H47" s="1719"/>
      <c r="I47" s="1719"/>
      <c r="J47" s="1719"/>
      <c r="K47" s="1719"/>
      <c r="L47" s="1719"/>
      <c r="M47" s="1719"/>
      <c r="N47" s="1719"/>
    </row>
    <row r="48" spans="3:14"/>
    <row r="49" spans="3:13">
      <c r="C49" s="1754" t="str">
        <f>see_summary</f>
        <v>[See summary of answer status of all exercises].</v>
      </c>
      <c r="D49" s="1468"/>
      <c r="E49" s="1468"/>
      <c r="F49" s="1468"/>
      <c r="G49" s="1468"/>
    </row>
    <row r="50" spans="3:13"/>
    <row r="51" spans="3:13" hidden="1">
      <c r="D51" s="32" t="s">
        <v>1269</v>
      </c>
      <c r="F51" s="1390">
        <v>20000</v>
      </c>
    </row>
    <row r="52" spans="3:13" hidden="1">
      <c r="F52" s="1390">
        <v>6000</v>
      </c>
    </row>
    <row r="53" spans="3:13" hidden="1">
      <c r="F53" s="1390">
        <v>-6000</v>
      </c>
    </row>
    <row r="54" spans="3:13" hidden="1">
      <c r="F54" s="1390">
        <v>-18000</v>
      </c>
    </row>
    <row r="56" spans="3:13" ht="13" hidden="1">
      <c r="D56" s="772"/>
      <c r="G56" s="32" t="s">
        <v>975</v>
      </c>
      <c r="H56" s="32" t="s">
        <v>976</v>
      </c>
      <c r="L56" s="1390"/>
      <c r="M56" s="1390"/>
    </row>
    <row r="57" spans="3:13" hidden="1">
      <c r="D57" s="791" t="s">
        <v>1260</v>
      </c>
      <c r="G57" s="32">
        <f>IF(G38&lt;0,-MIN(-G38,G35-G33),MIN(G38,-G35))</f>
        <v>17000</v>
      </c>
      <c r="H57" s="1390">
        <f>G40</f>
        <v>0</v>
      </c>
    </row>
    <row r="58" spans="3:13" hidden="1">
      <c r="D58" s="791" t="s">
        <v>1261</v>
      </c>
      <c r="G58" s="1390">
        <f>-G57+G38</f>
        <v>3000</v>
      </c>
      <c r="H58" s="1390">
        <f>G42</f>
        <v>0</v>
      </c>
    </row>
    <row r="59" spans="3:13" hidden="1">
      <c r="D59" s="80" t="s">
        <v>1265</v>
      </c>
      <c r="G59" s="1390">
        <f>G35+G57</f>
        <v>0</v>
      </c>
      <c r="H59" s="1390">
        <f>G44</f>
        <v>0</v>
      </c>
    </row>
    <row r="60" spans="3:13" hidden="1">
      <c r="D60" s="791" t="s">
        <v>1266</v>
      </c>
      <c r="G60" s="1390">
        <f>G36+G58</f>
        <v>3000</v>
      </c>
      <c r="H60" s="1390">
        <f>G46</f>
        <v>0</v>
      </c>
    </row>
    <row r="62" spans="3:13" hidden="1">
      <c r="E62" s="63" t="s">
        <v>977</v>
      </c>
      <c r="F62" s="63" t="s">
        <v>1272</v>
      </c>
      <c r="G62" s="63" t="s">
        <v>977</v>
      </c>
      <c r="H62" s="63" t="s">
        <v>1272</v>
      </c>
      <c r="I62" s="63" t="s">
        <v>977</v>
      </c>
      <c r="J62" s="63" t="s">
        <v>1272</v>
      </c>
      <c r="K62" s="63" t="s">
        <v>977</v>
      </c>
      <c r="L62" s="63" t="s">
        <v>1272</v>
      </c>
    </row>
    <row r="63" spans="3:13" hidden="1">
      <c r="E63" s="32">
        <f>G57</f>
        <v>17000</v>
      </c>
      <c r="F63" s="1390">
        <f>H57</f>
        <v>0</v>
      </c>
      <c r="G63" s="1390">
        <f>G58</f>
        <v>3000</v>
      </c>
      <c r="H63" s="1390">
        <f>H58</f>
        <v>0</v>
      </c>
      <c r="I63" s="1390">
        <f>G59</f>
        <v>0</v>
      </c>
      <c r="J63" s="1390">
        <f>H59</f>
        <v>0</v>
      </c>
      <c r="K63" s="1390">
        <f>G60</f>
        <v>3000</v>
      </c>
      <c r="L63" s="1390">
        <f>H60</f>
        <v>0</v>
      </c>
    </row>
    <row r="64" spans="3:13" hidden="1">
      <c r="D64" s="1390">
        <f>F51</f>
        <v>20000</v>
      </c>
      <c r="E64" s="635">
        <f t="dataTable" ref="E64:L67" dt2D="0" dtr="0" r1="G38"/>
        <v>17000</v>
      </c>
      <c r="F64" s="1098">
        <v>0</v>
      </c>
      <c r="G64" s="635">
        <v>3000</v>
      </c>
      <c r="H64" s="1098">
        <v>0</v>
      </c>
      <c r="I64" s="635">
        <v>0</v>
      </c>
      <c r="J64" s="1098">
        <v>0</v>
      </c>
      <c r="K64" s="635">
        <v>3000</v>
      </c>
      <c r="L64" s="1098">
        <v>0</v>
      </c>
    </row>
    <row r="65" spans="3:12" hidden="1">
      <c r="D65" s="1390">
        <f>F52</f>
        <v>6000</v>
      </c>
      <c r="E65" s="635">
        <v>6000</v>
      </c>
      <c r="F65" s="1098">
        <v>0</v>
      </c>
      <c r="G65" s="635">
        <v>0</v>
      </c>
      <c r="H65" s="1098">
        <v>0</v>
      </c>
      <c r="I65" s="635">
        <v>-11000</v>
      </c>
      <c r="J65" s="1098">
        <v>0</v>
      </c>
      <c r="K65" s="635">
        <v>0</v>
      </c>
      <c r="L65" s="1098">
        <v>0</v>
      </c>
    </row>
    <row r="66" spans="3:12" hidden="1">
      <c r="D66" s="1390">
        <f>F53</f>
        <v>-6000</v>
      </c>
      <c r="E66" s="635">
        <v>-6000</v>
      </c>
      <c r="F66" s="1098">
        <v>0</v>
      </c>
      <c r="G66" s="635">
        <v>0</v>
      </c>
      <c r="H66" s="1098">
        <v>0</v>
      </c>
      <c r="I66" s="635">
        <v>-23000</v>
      </c>
      <c r="J66" s="1098">
        <v>0</v>
      </c>
      <c r="K66" s="635">
        <v>0</v>
      </c>
      <c r="L66" s="1098">
        <v>0</v>
      </c>
    </row>
    <row r="67" spans="3:12" hidden="1">
      <c r="D67" s="1390">
        <f>F54</f>
        <v>-18000</v>
      </c>
      <c r="E67" s="635">
        <v>-13000</v>
      </c>
      <c r="F67" s="1098">
        <v>0</v>
      </c>
      <c r="G67" s="635">
        <v>-5000</v>
      </c>
      <c r="H67" s="1098">
        <v>0</v>
      </c>
      <c r="I67" s="635">
        <v>-30000</v>
      </c>
      <c r="J67" s="1098">
        <v>0</v>
      </c>
      <c r="K67" s="635">
        <v>-5000</v>
      </c>
      <c r="L67" s="1098">
        <v>0</v>
      </c>
    </row>
    <row r="68" spans="3:12" hidden="1">
      <c r="C68" s="32" t="s">
        <v>1217</v>
      </c>
      <c r="E68" s="32">
        <f>IF(E64=F64,0,1)</f>
        <v>1</v>
      </c>
      <c r="G68" s="32">
        <f>IF(G64=H64,0,1)</f>
        <v>1</v>
      </c>
      <c r="I68" s="32">
        <f>IF(I64=J64,0,1)</f>
        <v>0</v>
      </c>
      <c r="K68" s="32">
        <f>IF(K64=L64,0,1)</f>
        <v>1</v>
      </c>
    </row>
    <row r="69" spans="3:12" hidden="1">
      <c r="E69" s="32">
        <f t="shared" ref="E69:G71" si="2">IF(E65=F65,0,1)</f>
        <v>1</v>
      </c>
      <c r="G69" s="32">
        <f t="shared" si="2"/>
        <v>0</v>
      </c>
      <c r="I69" s="32">
        <f>IF(I65=J65,0,1)</f>
        <v>1</v>
      </c>
      <c r="K69" s="32">
        <f>IF(K65=L65,0,1)</f>
        <v>0</v>
      </c>
    </row>
    <row r="70" spans="3:12" hidden="1">
      <c r="E70" s="32">
        <f t="shared" si="2"/>
        <v>1</v>
      </c>
      <c r="G70" s="32">
        <f t="shared" si="2"/>
        <v>0</v>
      </c>
      <c r="I70" s="32">
        <f>IF(I66=J66,0,1)</f>
        <v>1</v>
      </c>
      <c r="K70" s="32">
        <f>IF(K66=L66,0,1)</f>
        <v>0</v>
      </c>
    </row>
    <row r="71" spans="3:12" hidden="1">
      <c r="E71" s="32">
        <f t="shared" si="2"/>
        <v>1</v>
      </c>
      <c r="G71" s="32">
        <f t="shared" si="2"/>
        <v>1</v>
      </c>
      <c r="I71" s="32">
        <f>IF(I67=J67,0,1)</f>
        <v>1</v>
      </c>
      <c r="K71" s="32">
        <f>IF(K67=L67,0,1)</f>
        <v>1</v>
      </c>
    </row>
    <row r="73" spans="3:12" hidden="1">
      <c r="C73" s="32" t="s">
        <v>1270</v>
      </c>
      <c r="E73" s="32">
        <f>MATCH(1,E68:E71,0)-1</f>
        <v>0</v>
      </c>
      <c r="G73" s="32">
        <f>MATCH(1,G68:G71,0)-1</f>
        <v>0</v>
      </c>
      <c r="I73" s="32">
        <f>MATCH(1,I68:I71,0)-1</f>
        <v>1</v>
      </c>
      <c r="K73" s="32">
        <f>MATCH(1,K68:K71,0)-1</f>
        <v>0</v>
      </c>
    </row>
    <row r="75" spans="3:12" hidden="1">
      <c r="C75" s="32" t="s">
        <v>1271</v>
      </c>
    </row>
    <row r="76" spans="3:12" hidden="1">
      <c r="E76" s="32" t="b">
        <f>G57=H57</f>
        <v>0</v>
      </c>
      <c r="G76" s="32" t="b">
        <f>G58=H58</f>
        <v>0</v>
      </c>
      <c r="I76" s="32" t="b">
        <f>G59=H59</f>
        <v>1</v>
      </c>
      <c r="K76" s="32" t="b">
        <f>G60=H60</f>
        <v>0</v>
      </c>
    </row>
    <row r="78" spans="3:12" hidden="1">
      <c r="C78" s="32" t="s">
        <v>1273</v>
      </c>
    </row>
    <row r="79" spans="3:12" hidden="1">
      <c r="E79" s="32" t="str">
        <f>"Your answer is " &amp; TEXT(F63,"#,##0 ;(#,##0);0") &amp; " but the correct answer is " &amp; TEXT(E63,"#,##0 ;(#,##0);0")&amp; "."</f>
        <v>Your answer is 0 but the correct answer is 17,000 .</v>
      </c>
      <c r="G79" s="32" t="str">
        <f>"Your answer is " &amp; TEXT(H63,"#,##0 ;(#,##0);0") &amp; " but the correct answer is " &amp; TEXT(G63,"#,##0 ;(#,##0);0")&amp; "."</f>
        <v>Your answer is 0 but the correct answer is 3,000 .</v>
      </c>
      <c r="I79" s="32" t="str">
        <f>"Your answer is " &amp; TEXT(J63,"#,##0 ;(#,##0);0") &amp; " but the correct answer is " &amp; TEXT(I63,"#,##0 ;(#,##0);0")&amp; "."</f>
        <v>Your answer is 0 but the correct answer is 0.</v>
      </c>
      <c r="K79" s="32" t="str">
        <f>"Your answer is " &amp; TEXT(L63,"#,##0 ;(#,##0);0") &amp; " but the correct answer is " &amp; TEXT(K63,"#,##0 ;(#,##0);0")&amp; "."</f>
        <v>Your answer is 0 but the correct answer is 3,000 .</v>
      </c>
    </row>
    <row r="81" spans="3:11" hidden="1">
      <c r="C81" s="32" t="s">
        <v>1274</v>
      </c>
    </row>
    <row r="82" spans="3:11" hidden="1">
      <c r="E82" s="32" t="str">
        <f ca="1">"That answer is correct but if the cash surplus/(need) is "&amp; TEXT(OFFSET($D64,E73,0),"#,##0 ;(#,##0);-") &amp; " then your answer will be " &amp; TEXT(OFFSET(F64,E73,0),"#,##0 ;(#,##0);0 ") &amp; " but should be " &amp; TEXT(OFFSET(E64,E73,0),"#,##0 ;(#,##0);0 ")&amp;"."</f>
        <v>That answer is correct but if the cash surplus/(need) is 20,000  then your answer will be 0  but should be 17,000 .</v>
      </c>
      <c r="G82" s="32" t="str">
        <f ca="1">"That answer is correct but if the cash surplus/(need) is "&amp; TEXT(OFFSET($D64,G73,0),"#,##0 ;(#,##0);-") &amp; " then your answer will be " &amp; TEXT(OFFSET(H64,G73,0),"#,##0 ;(#,##0);0 ") &amp; " but should be " &amp; TEXT(OFFSET(G64,G73,0),"#,##0 ;(#,##0);0 ")&amp;"."</f>
        <v>That answer is correct but if the cash surplus/(need) is 20,000  then your answer will be 0  but should be 3,000 .</v>
      </c>
      <c r="I82" s="32" t="str">
        <f ca="1">"That answer is correct but if the cash surplus/(need) is "&amp; TEXT(OFFSET($D64,I73,0),"#,##0 ;(#,##0);-") &amp; " then your answer will be " &amp; TEXT(OFFSET(J64,I73,0),"#,##0 ;(#,##0);0 ") &amp; " but should be " &amp; TEXT(OFFSET(I64,I73,0),"#,##0 ;(#,##0);0 ")&amp;"."</f>
        <v>That answer is correct but if the cash surplus/(need) is 6,000  then your answer will be 0  but should be (11,000).</v>
      </c>
      <c r="K82" s="32" t="str">
        <f ca="1">"That answer is correct but if the cash surplus/(need) is "&amp; TEXT(OFFSET($D64,K73,0),"#,##0 ;(#,##0);-") &amp; " then your answer will be " &amp; TEXT(OFFSET(L64,K73,0),"#,##0 ;(#,##0);0 ") &amp; " but should be " &amp; TEXT(OFFSET(K64,K73,0),"#,##0 ;(#,##0);0 ")&amp;"."</f>
        <v>That answer is correct but if the cash surplus/(need) is 20,000  then your answer will be 0  but should be 3,000 .</v>
      </c>
    </row>
    <row r="84" spans="3:11" hidden="1">
      <c r="C84" s="32" t="s">
        <v>1275</v>
      </c>
    </row>
    <row r="85" spans="3:11" hidden="1">
      <c r="E85" s="32" t="str">
        <f>IF(E76,E82,E79)</f>
        <v>Your answer is 0 but the correct answer is 17,000 .</v>
      </c>
      <c r="G85" s="32" t="str">
        <f>IF(G76,G82,G79)</f>
        <v>Your answer is 0 but the correct answer is 3,000 .</v>
      </c>
      <c r="I85" s="32" t="str">
        <f ca="1">IF(I76,I82,I79)</f>
        <v>That answer is correct but if the cash surplus/(need) is 6,000  then your answer will be 0  but should be (11,000).</v>
      </c>
      <c r="K85" s="32" t="str">
        <f>IF(K76,K82,K79)</f>
        <v>Your answer is 0 but the correct answer is 3,000 .</v>
      </c>
    </row>
    <row r="87" spans="3:11" hidden="1">
      <c r="C87" s="1755" t="s">
        <v>1281</v>
      </c>
      <c r="D87" s="1755"/>
      <c r="E87" s="1755"/>
      <c r="F87" s="1755"/>
      <c r="G87" s="1755"/>
      <c r="H87" s="1755"/>
      <c r="I87" s="1755"/>
    </row>
    <row r="88" spans="3:11" hidden="1">
      <c r="C88" s="1755"/>
      <c r="D88" s="1755"/>
      <c r="E88" s="1755"/>
      <c r="F88" s="1755"/>
      <c r="G88" s="1755"/>
      <c r="H88" s="1755"/>
      <c r="I88" s="1755"/>
    </row>
    <row r="89" spans="3:11" hidden="1">
      <c r="C89" s="1755"/>
      <c r="D89" s="1755"/>
      <c r="E89" s="1755"/>
      <c r="F89" s="1755"/>
      <c r="G89" s="1755"/>
      <c r="H89" s="1755"/>
      <c r="I89" s="1755"/>
    </row>
    <row r="90" spans="3:11" hidden="1">
      <c r="C90" s="1755"/>
      <c r="D90" s="1755"/>
      <c r="E90" s="1755"/>
      <c r="F90" s="1755"/>
      <c r="G90" s="1755"/>
      <c r="H90" s="1755"/>
      <c r="I90" s="1755"/>
    </row>
    <row r="92" spans="3:11" hidden="1">
      <c r="C92" s="32" t="s">
        <v>997</v>
      </c>
      <c r="E92" s="32" t="b">
        <f>LEN(G40)=0</f>
        <v>1</v>
      </c>
      <c r="G92" s="32" t="b">
        <f>LEN(G42)=0</f>
        <v>1</v>
      </c>
      <c r="I92" s="32" t="b">
        <f>LEN(G44)=0</f>
        <v>1</v>
      </c>
      <c r="K92" s="32" t="b">
        <f>LEN(G46)=0</f>
        <v>1</v>
      </c>
    </row>
    <row r="93" spans="3:11" hidden="1">
      <c r="C93" s="32" t="s">
        <v>1058</v>
      </c>
      <c r="E93" s="32" t="b">
        <f>SUM(E68:E71)=0</f>
        <v>0</v>
      </c>
      <c r="G93" s="32" t="b">
        <f>SUM(G68:G71)=0</f>
        <v>0</v>
      </c>
      <c r="I93" s="32" t="b">
        <f>SUM(I68:I71)=0</f>
        <v>0</v>
      </c>
      <c r="K93" s="32" t="b">
        <f>SUM(K68:K71)=0</f>
        <v>0</v>
      </c>
    </row>
    <row r="94" spans="3:11" hidden="1">
      <c r="C94" s="32" t="s">
        <v>1220</v>
      </c>
      <c r="E94" s="32" t="b">
        <f>AND(NOT(H79),NOT(H80))</f>
        <v>1</v>
      </c>
      <c r="G94" s="32" t="b">
        <f>AND(NOT(H79),NOT(H80))</f>
        <v>1</v>
      </c>
      <c r="I94" s="32" t="b">
        <f>AND(NOT(H79),NOT(H80))</f>
        <v>1</v>
      </c>
      <c r="K94" s="32" t="b">
        <f>AND(NOT(H79),NOT(H80))</f>
        <v>1</v>
      </c>
    </row>
    <row r="96" spans="3:11" hidden="1">
      <c r="C96" s="32" t="s">
        <v>426</v>
      </c>
      <c r="E96" s="32">
        <f>IF(E92,2,IF(E93,3,1))</f>
        <v>2</v>
      </c>
      <c r="G96" s="32">
        <f>IF(G92,2,IF(G93,3,1))</f>
        <v>2</v>
      </c>
      <c r="I96" s="32">
        <f>IF(I92,2,IF(I93,3,1))</f>
        <v>2</v>
      </c>
      <c r="K96" s="32">
        <f>IF(K92,2,IF(K93,3,1))</f>
        <v>2</v>
      </c>
    </row>
    <row r="98" spans="3:15" hidden="1">
      <c r="C98" s="32" t="s">
        <v>1276</v>
      </c>
      <c r="E98" s="32" t="str">
        <f>CHOOSE(E96,E85,answer_complete,answer_correct)</f>
        <v>Please complete the answer.</v>
      </c>
      <c r="G98" s="32" t="str">
        <f>CHOOSE(G96,G85,answer_complete,answer_correct)</f>
        <v>Please complete the answer.</v>
      </c>
      <c r="I98" s="32" t="str">
        <f>CHOOSE(I96,I85,answer_complete,answer_correct)</f>
        <v>Please complete the answer.</v>
      </c>
      <c r="K98" s="32" t="str">
        <f>CHOOSE(K96,K85,answer_complete,answer_correct)</f>
        <v>Please complete the answer.</v>
      </c>
    </row>
    <row r="101" spans="3:15" hidden="1">
      <c r="C101" s="32" t="s">
        <v>1278</v>
      </c>
    </row>
    <row r="103" spans="3:15" hidden="1">
      <c r="C103" s="32" t="s">
        <v>1282</v>
      </c>
      <c r="E103" s="32" t="b">
        <f>AND(E92,G92,I92,K92)</f>
        <v>1</v>
      </c>
    </row>
    <row r="104" spans="3:15" hidden="1">
      <c r="C104" s="32" t="s">
        <v>1279</v>
      </c>
      <c r="E104" s="32" t="b">
        <f>AND(E93,G93,I93,K93)</f>
        <v>0</v>
      </c>
    </row>
    <row r="105" spans="3:15" hidden="1">
      <c r="C105" s="32" t="s">
        <v>1220</v>
      </c>
      <c r="E105" s="32" t="b">
        <f>AND(NOT(H79),NOT(H80))</f>
        <v>1</v>
      </c>
    </row>
    <row r="107" spans="3:15" hidden="1">
      <c r="C107" s="32" t="s">
        <v>1280</v>
      </c>
      <c r="E107" s="32">
        <f>IF(E103,2,IF(E104,3,1))</f>
        <v>2</v>
      </c>
    </row>
    <row r="110" spans="3:15">
      <c r="C110" s="1697" t="str">
        <f>back_to_index</f>
        <v>Back to contents</v>
      </c>
      <c r="D110" s="1697"/>
      <c r="G110" s="1530" t="str">
        <f>page_prefix &amp; page_Ex_Acc_Bal&amp; page_suffix</f>
        <v>- Page 44 -</v>
      </c>
      <c r="H110" s="1530"/>
      <c r="I110" s="1530"/>
      <c r="J110" s="1481"/>
      <c r="K110" s="1481"/>
      <c r="N110" s="1640" t="str">
        <f>back_to_top</f>
        <v>Back to top</v>
      </c>
      <c r="O110" s="1640"/>
    </row>
    <row r="111" spans="3:15">
      <c r="G111" s="1530" t="str">
        <f>copyright</f>
        <v>Copyright (c) 2009 Tykoh Group Pty Limited</v>
      </c>
      <c r="H111" s="1530"/>
      <c r="I111" s="1530"/>
      <c r="J111" s="1481"/>
      <c r="K111" s="1481"/>
    </row>
    <row r="112" spans="3:15">
      <c r="G112" s="1452" t="str">
        <f>home_address</f>
        <v>www.tykoh.com</v>
      </c>
      <c r="H112" s="1452"/>
      <c r="I112" s="1452"/>
      <c r="J112" s="1452"/>
      <c r="K112" s="1452"/>
    </row>
    <row r="113" ht="12" customHeight="1"/>
  </sheetData>
  <sheetProtection algorithmName="SHA-512" hashValue="UoFYymiOYch7EjuPzMpzRuSvXqGUtoezFvMDe0UB9upM4evcJ6VkF97rFIwRORdPw46d8ygbfjce45UN06oZnw==" saltValue="kWWvoQ5PlgCCVXQPfduPfQ==" spinCount="100000" sheet="1" objects="1" scenarios="1"/>
  <mergeCells count="21">
    <mergeCell ref="G112:K112"/>
    <mergeCell ref="H46:N47"/>
    <mergeCell ref="H40:N41"/>
    <mergeCell ref="H42:N43"/>
    <mergeCell ref="H44:N45"/>
    <mergeCell ref="C87:I90"/>
    <mergeCell ref="C110:D110"/>
    <mergeCell ref="C49:G49"/>
    <mergeCell ref="G110:K110"/>
    <mergeCell ref="N110:O110"/>
    <mergeCell ref="G111:K111"/>
    <mergeCell ref="M4:O8"/>
    <mergeCell ref="C4:K6"/>
    <mergeCell ref="C23:O23"/>
    <mergeCell ref="C11:O12"/>
    <mergeCell ref="C20:O22"/>
    <mergeCell ref="C14:O15"/>
    <mergeCell ref="C17:O18"/>
    <mergeCell ref="C24:O26"/>
    <mergeCell ref="C27:O28"/>
    <mergeCell ref="C30:O31"/>
  </mergeCells>
  <phoneticPr fontId="2" type="noConversion"/>
  <conditionalFormatting sqref="E64:E67 G64:G67 I64:I67 K64:K67">
    <cfRule type="cellIs" dxfId="18" priority="1" stopIfTrue="1" operator="notEqual">
      <formula>F64</formula>
    </cfRule>
  </conditionalFormatting>
  <conditionalFormatting sqref="H40:N41">
    <cfRule type="expression" dxfId="17" priority="2" stopIfTrue="1">
      <formula>$E$96=2</formula>
    </cfRule>
    <cfRule type="expression" dxfId="16" priority="3" stopIfTrue="1">
      <formula>$E$96=1</formula>
    </cfRule>
  </conditionalFormatting>
  <conditionalFormatting sqref="H42:N43">
    <cfRule type="expression" dxfId="15" priority="4" stopIfTrue="1">
      <formula>$G$96=2</formula>
    </cfRule>
    <cfRule type="expression" dxfId="14" priority="5" stopIfTrue="1">
      <formula>$G$96=1</formula>
    </cfRule>
  </conditionalFormatting>
  <conditionalFormatting sqref="H44:N45">
    <cfRule type="expression" dxfId="13" priority="6" stopIfTrue="1">
      <formula>$I$96=2</formula>
    </cfRule>
    <cfRule type="expression" dxfId="12" priority="7" stopIfTrue="1">
      <formula>$I$96=1</formula>
    </cfRule>
  </conditionalFormatting>
  <conditionalFormatting sqref="H46:N47">
    <cfRule type="expression" dxfId="11" priority="8" stopIfTrue="1">
      <formula>$K$96=2</formula>
    </cfRule>
    <cfRule type="expression" dxfId="10" priority="9" stopIfTrue="1">
      <formula>$K$96=1</formula>
    </cfRule>
  </conditionalFormatting>
  <dataValidations count="1">
    <dataValidation type="list" allowBlank="1" showInputMessage="1" showErrorMessage="1" sqref="G38" xr:uid="{00000000-0002-0000-3800-000000000000}">
      <formula1>$F$51:$F$54</formula1>
    </dataValidation>
  </dataValidations>
  <hyperlinks>
    <hyperlink ref="C49:G49" location="hh_Ex_Status" display="hh_Ex_Status" xr:uid="{00000000-0004-0000-3800-000000000000}"/>
    <hyperlink ref="N110:O110" location="hh_Ex_Acc_Bal" display="hh_Ex_Acc_Bal" xr:uid="{00000000-0004-0000-3800-000001000000}"/>
    <hyperlink ref="C110:D110" location="hh_index" display="hh_index" xr:uid="{00000000-0004-0000-3800-000002000000}"/>
    <hyperlink ref="G112:K112" r:id="rId1" display="https://www.tykoh.com/" xr:uid="{00000000-0004-0000-3800-000003000000}"/>
  </hyperlinks>
  <pageMargins left="0.75" right="0.75" top="1" bottom="1" header="0.5" footer="0.5"/>
  <pageSetup paperSize="9" scale="70" orientation="portrait" r:id="rId2"/>
  <headerFooter alignWithMargins="0"/>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7">
    <pageSetUpPr fitToPage="1"/>
  </sheetPr>
  <dimension ref="C1:O71"/>
  <sheetViews>
    <sheetView showGridLines="0" showRowColHeaders="0" workbookViewId="0"/>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99" t="s">
        <v>1360</v>
      </c>
      <c r="D3" s="99"/>
    </row>
    <row r="4" spans="3:15" ht="13" thickTop="1">
      <c r="M4" s="1545" t="str">
        <f ca="1">OFFSET(ad_first,OFFSET(ads_top,ROW(ads_Ex_2)-1,1),0)</f>
        <v>Our Visual Basic course shows how to extend or change Microsoft Office products' functionality</v>
      </c>
      <c r="N4" s="1689"/>
      <c r="O4" s="1690"/>
    </row>
    <row r="5" spans="3:15">
      <c r="C5" s="1584" t="s">
        <v>15</v>
      </c>
      <c r="D5" s="1518"/>
      <c r="E5" s="1518"/>
      <c r="F5" s="1518"/>
      <c r="G5" s="1518"/>
      <c r="H5" s="1518"/>
      <c r="I5" s="1518"/>
      <c r="J5" s="1518"/>
      <c r="K5" s="1518"/>
      <c r="L5" s="1518"/>
      <c r="M5" s="1691"/>
      <c r="N5" s="1692"/>
      <c r="O5" s="1693"/>
    </row>
    <row r="6" spans="3:15">
      <c r="C6" s="1518"/>
      <c r="D6" s="1518"/>
      <c r="E6" s="1518"/>
      <c r="F6" s="1518"/>
      <c r="G6" s="1518"/>
      <c r="H6" s="1518"/>
      <c r="I6" s="1518"/>
      <c r="J6" s="1518"/>
      <c r="K6" s="1518"/>
      <c r="L6" s="1518"/>
      <c r="M6" s="1691"/>
      <c r="N6" s="1692"/>
      <c r="O6" s="1693"/>
    </row>
    <row r="7" spans="3:15">
      <c r="C7" s="776"/>
      <c r="D7" s="776"/>
      <c r="E7" s="776"/>
      <c r="F7" s="776"/>
      <c r="G7" s="776"/>
      <c r="H7" s="776"/>
      <c r="I7" s="776"/>
      <c r="J7" s="776"/>
      <c r="K7" s="776"/>
      <c r="L7" s="776"/>
      <c r="M7" s="1691"/>
      <c r="N7" s="1692"/>
      <c r="O7" s="1693"/>
    </row>
    <row r="8" spans="3:15" ht="13" thickBot="1">
      <c r="M8" s="1694"/>
      <c r="N8" s="1695"/>
      <c r="O8" s="1696"/>
    </row>
    <row r="9" spans="3:15" ht="13" thickTop="1"/>
    <row r="10" spans="3:15"/>
    <row r="11" spans="3:15"/>
    <row r="12" spans="3:15"/>
    <row r="13" spans="3:15"/>
    <row r="14" spans="3:15"/>
    <row r="15" spans="3:15"/>
    <row r="16" spans="3:15"/>
    <row r="17" spans="3:15"/>
    <row r="18" spans="3:15"/>
    <row r="19" spans="3:15"/>
    <row r="20" spans="3:15"/>
    <row r="21" spans="3:15"/>
    <row r="22" spans="3:15"/>
    <row r="23" spans="3:15"/>
    <row r="24" spans="3:15"/>
    <row r="25" spans="3:15">
      <c r="C25" s="33"/>
      <c r="M25" s="33"/>
      <c r="N25" s="33"/>
    </row>
    <row r="26" spans="3:15">
      <c r="C26" s="1568" t="str">
        <f>"Four points (shown by the coloured squares in the chart above) define particular revenues and profit shares.  For a revenue of " &amp; F44 &amp; " (and below) the profit share is " &amp; TEXT(F45,"0%") &amp; ", for a revenue of " &amp; G44 &amp; " it is " &amp; TEXT(G45,"0%") &amp; ", for " &amp; H44 &amp; " it is " &amp; TEXT(H45,"0%") &amp; " and for " &amp; I44 &amp; " (and above) it is " &amp; TEXT(I45,"0%")&amp;"."</f>
        <v>Four points (shown by the coloured squares in the chart above) define particular revenues and profit shares.  For a revenue of 100 (and below) the profit share is 5%, for a revenue of 200 it is 10%, for 400 it is 30% and for 500 (and above) it is 35%.</v>
      </c>
      <c r="D26" s="1585"/>
      <c r="E26" s="1585"/>
      <c r="F26" s="1585"/>
      <c r="G26" s="1585"/>
      <c r="H26" s="1585"/>
      <c r="I26" s="1585"/>
      <c r="J26" s="1585"/>
      <c r="K26" s="1585"/>
      <c r="L26" s="1585"/>
      <c r="M26" s="1585"/>
      <c r="N26" s="1585"/>
      <c r="O26" s="1585"/>
    </row>
    <row r="27" spans="3:15">
      <c r="C27" s="1585"/>
      <c r="D27" s="1585"/>
      <c r="E27" s="1585"/>
      <c r="F27" s="1585"/>
      <c r="G27" s="1585"/>
      <c r="H27" s="1585"/>
      <c r="I27" s="1585"/>
      <c r="J27" s="1585"/>
      <c r="K27" s="1585"/>
      <c r="L27" s="1585"/>
      <c r="M27" s="1585"/>
      <c r="N27" s="1585"/>
      <c r="O27" s="1585"/>
    </row>
    <row r="28" spans="3:15">
      <c r="C28" s="263"/>
      <c r="D28" s="263"/>
      <c r="E28" s="263"/>
      <c r="F28" s="263"/>
      <c r="G28" s="263"/>
      <c r="H28" s="263"/>
      <c r="I28" s="263"/>
      <c r="J28" s="263"/>
      <c r="K28" s="263"/>
      <c r="L28" s="263"/>
      <c r="M28" s="263"/>
      <c r="N28" s="263"/>
      <c r="O28" s="263"/>
    </row>
    <row r="29" spans="3:15" ht="13" thickBot="1">
      <c r="C29" s="1585" t="s">
        <v>1203</v>
      </c>
      <c r="D29" s="1585"/>
      <c r="E29" s="1585"/>
      <c r="F29" s="1585"/>
      <c r="G29" s="1585"/>
      <c r="H29" s="1585"/>
      <c r="I29" s="1585"/>
      <c r="J29" s="1585"/>
      <c r="K29" s="1585"/>
      <c r="L29" s="1585"/>
      <c r="M29" s="1347"/>
      <c r="N29" s="1314"/>
      <c r="O29" s="1314"/>
    </row>
    <row r="30" spans="3:15" ht="13" thickTop="1">
      <c r="C30" s="1585"/>
      <c r="D30" s="1585"/>
      <c r="E30" s="1585"/>
      <c r="F30" s="1585"/>
      <c r="G30" s="1585"/>
      <c r="H30" s="1585"/>
      <c r="I30" s="1585"/>
      <c r="J30" s="1585"/>
      <c r="K30" s="1585"/>
      <c r="L30" s="1585"/>
      <c r="M30" s="1521" t="str">
        <f ca="1">OFFSET(ad_first,OFFSET(ads_top,ROW(ads_Ex_2)-1,1),0)</f>
        <v>Our Visual Basic course shows how to extend or change Microsoft Office products' functionality</v>
      </c>
      <c r="N30" s="1507"/>
      <c r="O30" s="1508"/>
    </row>
    <row r="31" spans="3:15">
      <c r="C31" s="33"/>
      <c r="M31" s="1509"/>
      <c r="N31" s="1510"/>
      <c r="O31" s="1511"/>
    </row>
    <row r="32" spans="3:15" ht="13">
      <c r="C32" s="79" t="str">
        <f>degree_of_difficulty</f>
        <v>Degree of difficulty (1=easy, 10=extremely difficult)</v>
      </c>
      <c r="M32" s="1509"/>
      <c r="N32" s="1510"/>
      <c r="O32" s="1511"/>
    </row>
    <row r="33" spans="3:15">
      <c r="C33" s="1346">
        <v>8</v>
      </c>
      <c r="M33" s="1509"/>
      <c r="N33" s="1510"/>
      <c r="O33" s="1511"/>
    </row>
    <row r="34" spans="3:15" ht="13" thickBot="1">
      <c r="C34" s="1346"/>
      <c r="M34" s="1512"/>
      <c r="N34" s="1513"/>
      <c r="O34" s="1514"/>
    </row>
    <row r="35" spans="3:15" ht="13.5" thickTop="1">
      <c r="C35" s="79" t="s">
        <v>890</v>
      </c>
      <c r="M35" s="1314"/>
      <c r="N35" s="1314"/>
      <c r="O35" s="1314"/>
    </row>
    <row r="36" spans="3:15">
      <c r="C36" s="1569" t="str">
        <f>"You need to calculate the percentange share for a number of revenues.  Your answer (i.e. formulae calculating percentages) needs to be put into cells " &amp; ADDRESS(ROW(50:50),COLUMN(G:G)) &amp; ":" &amp; ADDRESS(ROW(50:50),COLUMN(K:K)) &amp; " in the spreadsheet below.  The table defining revenues and associated percentage shares is in cells " &amp; ADDRESS(ROW(44:44),COLUMN(G:G))&amp;":"&amp;ADDRESS(ROW(45:45),COLUMN(J:J))&amp;"."</f>
        <v>You need to calculate the percentange share for a number of revenues.  Your answer (i.e. formulae calculating percentages) needs to be put into cells $G$50:$K$50 in the spreadsheet below.  The table defining revenues and associated percentage shares is in cells $G$44:$J$45.</v>
      </c>
      <c r="D36" s="1517"/>
      <c r="E36" s="1517"/>
      <c r="F36" s="1517"/>
      <c r="G36" s="1517"/>
      <c r="H36" s="1517"/>
      <c r="I36" s="1517"/>
      <c r="J36" s="1517"/>
      <c r="K36" s="1517"/>
      <c r="L36" s="1517"/>
      <c r="M36" s="1517"/>
      <c r="N36" s="1517"/>
      <c r="O36" s="1517"/>
    </row>
    <row r="37" spans="3:15">
      <c r="C37" s="1517"/>
      <c r="D37" s="1517"/>
      <c r="E37" s="1517"/>
      <c r="F37" s="1517"/>
      <c r="G37" s="1517"/>
      <c r="H37" s="1517"/>
      <c r="I37" s="1517"/>
      <c r="J37" s="1517"/>
      <c r="K37" s="1517"/>
      <c r="L37" s="1517"/>
      <c r="M37" s="1517"/>
      <c r="N37" s="1517"/>
      <c r="O37" s="1517"/>
    </row>
    <row r="38" spans="3:15">
      <c r="C38" s="33"/>
      <c r="M38" s="33"/>
      <c r="N38" s="33"/>
    </row>
    <row r="39" spans="3:15">
      <c r="C39" s="1568" t="str">
        <f>"You will probably need to do some intermediate or 'working' calculations.  Those calculations can be done below in the area with a light yellow background in cells " &amp; ADDRESS(ROW(53:53),COLUMN(E:E))&amp;":"&amp;ADDRESS(ROW(60:60),COLUMN(K:K))&amp;"."</f>
        <v>You will probably need to do some intermediate or 'working' calculations.  Those calculations can be done below in the area with a light yellow background in cells $E$53:$K$60.</v>
      </c>
      <c r="D39" s="1585"/>
      <c r="E39" s="1585"/>
      <c r="F39" s="1585"/>
      <c r="G39" s="1585"/>
      <c r="H39" s="1585"/>
      <c r="I39" s="1585"/>
      <c r="J39" s="1585"/>
      <c r="K39" s="1585"/>
      <c r="L39" s="1585"/>
      <c r="M39" s="1585"/>
      <c r="N39" s="1585"/>
      <c r="O39" s="1585"/>
    </row>
    <row r="40" spans="3:15">
      <c r="C40" s="1585"/>
      <c r="D40" s="1585"/>
      <c r="E40" s="1585"/>
      <c r="F40" s="1585"/>
      <c r="G40" s="1585"/>
      <c r="H40" s="1585"/>
      <c r="I40" s="1585"/>
      <c r="J40" s="1585"/>
      <c r="K40" s="1585"/>
      <c r="L40" s="1585"/>
      <c r="M40" s="1585"/>
      <c r="N40" s="1585"/>
      <c r="O40" s="1585"/>
    </row>
    <row r="41" spans="3:15">
      <c r="C41" s="33"/>
      <c r="M41" s="33"/>
      <c r="N41" s="33"/>
    </row>
    <row r="42" spans="3:15">
      <c r="C42" s="33"/>
      <c r="D42" s="948" t="str">
        <f t="shared" ref="D42:L42" si="0">CHAR(CODE("A")+COLUMN(E$8:E$23)-1)</f>
        <v>E</v>
      </c>
      <c r="E42" s="948" t="str">
        <f t="shared" si="0"/>
        <v>F</v>
      </c>
      <c r="F42" s="948" t="str">
        <f t="shared" si="0"/>
        <v>G</v>
      </c>
      <c r="G42" s="948" t="str">
        <f t="shared" si="0"/>
        <v>H</v>
      </c>
      <c r="H42" s="948" t="str">
        <f t="shared" si="0"/>
        <v>I</v>
      </c>
      <c r="I42" s="948" t="str">
        <f t="shared" si="0"/>
        <v>J</v>
      </c>
      <c r="J42" s="948" t="str">
        <f t="shared" si="0"/>
        <v>K</v>
      </c>
      <c r="K42" s="857" t="str">
        <f t="shared" si="0"/>
        <v>L</v>
      </c>
      <c r="L42" s="857" t="str">
        <f t="shared" si="0"/>
        <v>M</v>
      </c>
      <c r="M42" s="74"/>
      <c r="N42" s="74"/>
    </row>
    <row r="43" spans="3:15" ht="13">
      <c r="C43" s="949">
        <f t="shared" ref="C43:C64" si="1">ROW($C43:$L43)</f>
        <v>43</v>
      </c>
      <c r="D43" s="1780" t="s">
        <v>891</v>
      </c>
      <c r="E43" s="1781"/>
      <c r="F43" s="1781"/>
      <c r="G43" s="1781"/>
      <c r="H43" s="1781"/>
      <c r="I43" s="1782"/>
      <c r="J43" s="809"/>
      <c r="K43" s="791"/>
      <c r="L43" s="791"/>
      <c r="M43" s="33"/>
      <c r="N43" s="33"/>
    </row>
    <row r="44" spans="3:15">
      <c r="C44" s="949">
        <f t="shared" si="1"/>
        <v>44</v>
      </c>
      <c r="D44" s="950" t="s">
        <v>892</v>
      </c>
      <c r="E44" s="791"/>
      <c r="F44" s="951">
        <v>100</v>
      </c>
      <c r="G44" s="791">
        <v>200</v>
      </c>
      <c r="H44" s="791">
        <v>400</v>
      </c>
      <c r="I44" s="952">
        <v>500</v>
      </c>
      <c r="J44" s="809"/>
      <c r="K44" s="791"/>
      <c r="L44" s="791"/>
      <c r="M44" s="33"/>
      <c r="N44" s="33"/>
    </row>
    <row r="45" spans="3:15">
      <c r="C45" s="949">
        <f t="shared" si="1"/>
        <v>45</v>
      </c>
      <c r="D45" s="953" t="s">
        <v>893</v>
      </c>
      <c r="E45" s="954"/>
      <c r="F45" s="955">
        <v>0.05</v>
      </c>
      <c r="G45" s="955">
        <v>0.1</v>
      </c>
      <c r="H45" s="955">
        <v>0.3</v>
      </c>
      <c r="I45" s="956">
        <v>0.35</v>
      </c>
      <c r="J45" s="809"/>
      <c r="K45" s="791"/>
      <c r="L45" s="791"/>
      <c r="M45" s="33"/>
      <c r="N45" s="33"/>
    </row>
    <row r="46" spans="3:15">
      <c r="C46" s="949">
        <f t="shared" si="1"/>
        <v>46</v>
      </c>
      <c r="D46" s="957"/>
      <c r="E46" s="957"/>
      <c r="F46" s="957"/>
      <c r="G46" s="957"/>
      <c r="H46" s="957"/>
      <c r="I46" s="957"/>
      <c r="J46" s="958"/>
      <c r="K46" s="791"/>
      <c r="L46" s="791"/>
      <c r="M46" s="33"/>
      <c r="N46" s="33"/>
    </row>
    <row r="47" spans="3:15" ht="13">
      <c r="C47" s="949">
        <f t="shared" si="1"/>
        <v>47</v>
      </c>
      <c r="D47" s="1780" t="s">
        <v>1020</v>
      </c>
      <c r="E47" s="1781"/>
      <c r="F47" s="1781"/>
      <c r="G47" s="1781"/>
      <c r="H47" s="1781"/>
      <c r="I47" s="1781"/>
      <c r="J47" s="1782"/>
      <c r="K47" s="809"/>
      <c r="L47" s="791"/>
      <c r="M47" s="33"/>
      <c r="N47" s="33"/>
    </row>
    <row r="48" spans="3:15">
      <c r="C48" s="949">
        <f t="shared" si="1"/>
        <v>48</v>
      </c>
      <c r="D48" s="950" t="s">
        <v>1021</v>
      </c>
      <c r="E48" s="791"/>
      <c r="F48" s="959">
        <v>40543</v>
      </c>
      <c r="G48" s="959">
        <v>40543</v>
      </c>
      <c r="H48" s="959">
        <v>40543</v>
      </c>
      <c r="I48" s="959">
        <v>40543</v>
      </c>
      <c r="J48" s="960">
        <v>40543</v>
      </c>
      <c r="K48" s="809"/>
      <c r="L48" s="791"/>
      <c r="M48" s="33"/>
      <c r="N48" s="33"/>
    </row>
    <row r="49" spans="3:14">
      <c r="C49" s="949">
        <f t="shared" si="1"/>
        <v>49</v>
      </c>
      <c r="D49" s="950" t="s">
        <v>892</v>
      </c>
      <c r="E49" s="791"/>
      <c r="F49" s="791">
        <v>50</v>
      </c>
      <c r="G49" s="791">
        <v>125</v>
      </c>
      <c r="H49" s="791">
        <v>210</v>
      </c>
      <c r="I49" s="791">
        <v>450</v>
      </c>
      <c r="J49" s="961">
        <v>550</v>
      </c>
      <c r="K49" s="809"/>
      <c r="L49" s="791"/>
      <c r="M49" s="33"/>
      <c r="N49" s="33"/>
    </row>
    <row r="50" spans="3:14">
      <c r="C50" s="949">
        <f t="shared" si="1"/>
        <v>50</v>
      </c>
      <c r="D50" s="953" t="s">
        <v>1022</v>
      </c>
      <c r="E50" s="954"/>
      <c r="F50" s="989"/>
      <c r="G50" s="989"/>
      <c r="H50" s="989"/>
      <c r="I50" s="989"/>
      <c r="J50" s="990"/>
      <c r="K50" s="1783" t="s">
        <v>1023</v>
      </c>
      <c r="L50" s="1784"/>
      <c r="M50" s="33"/>
      <c r="N50" s="33"/>
    </row>
    <row r="51" spans="3:14">
      <c r="C51" s="949">
        <f t="shared" si="1"/>
        <v>51</v>
      </c>
      <c r="D51" s="957"/>
      <c r="E51" s="957"/>
      <c r="F51" s="957"/>
      <c r="G51" s="957"/>
      <c r="H51" s="957"/>
      <c r="I51" s="957"/>
      <c r="J51" s="957"/>
      <c r="K51" s="1778"/>
      <c r="L51" s="1785"/>
      <c r="M51" s="33"/>
      <c r="N51" s="33"/>
    </row>
    <row r="52" spans="3:14" ht="12.75" customHeight="1">
      <c r="C52" s="949">
        <f t="shared" si="1"/>
        <v>52</v>
      </c>
      <c r="D52" s="1786" t="s">
        <v>1206</v>
      </c>
      <c r="E52" s="1787"/>
      <c r="F52" s="1787"/>
      <c r="G52" s="1787"/>
      <c r="H52" s="1787"/>
      <c r="I52" s="1787"/>
      <c r="J52" s="1788"/>
      <c r="K52" s="1789" t="str">
        <f>"You can use the area on the left for intermediate / working calculations.  Your final answers should go into row " &amp; ROW(50:50) &amp; " in cells " &amp; ADDRESS(ROW(50:50),COLUMN(G:G),4) &amp; ":" &amp; ADDRESS(ROW(50:50),COLUMN(K:K),4)&amp;"."</f>
        <v>You can use the area on the left for intermediate / working calculations.  Your final answers should go into row 50 in cells G50:K50.</v>
      </c>
      <c r="L52" s="1790"/>
      <c r="M52" s="962"/>
      <c r="N52" s="962"/>
    </row>
    <row r="53" spans="3:14">
      <c r="C53" s="949">
        <f t="shared" si="1"/>
        <v>53</v>
      </c>
      <c r="D53" s="991"/>
      <c r="E53" s="992"/>
      <c r="F53" s="993"/>
      <c r="G53" s="994"/>
      <c r="H53" s="994"/>
      <c r="I53" s="994"/>
      <c r="J53" s="995"/>
      <c r="K53" s="1791"/>
      <c r="L53" s="1792"/>
      <c r="M53" s="962"/>
      <c r="N53" s="962"/>
    </row>
    <row r="54" spans="3:14">
      <c r="C54" s="949">
        <f t="shared" si="1"/>
        <v>54</v>
      </c>
      <c r="D54" s="991"/>
      <c r="E54" s="992"/>
      <c r="F54" s="994"/>
      <c r="G54" s="994"/>
      <c r="H54" s="994"/>
      <c r="I54" s="994"/>
      <c r="J54" s="995"/>
      <c r="K54" s="1791"/>
      <c r="L54" s="1792"/>
      <c r="M54" s="962"/>
      <c r="N54" s="962"/>
    </row>
    <row r="55" spans="3:14">
      <c r="C55" s="949">
        <f t="shared" si="1"/>
        <v>55</v>
      </c>
      <c r="D55" s="991"/>
      <c r="E55" s="992"/>
      <c r="F55" s="994"/>
      <c r="G55" s="994"/>
      <c r="H55" s="994"/>
      <c r="I55" s="994"/>
      <c r="J55" s="995"/>
      <c r="K55" s="1791"/>
      <c r="L55" s="1792"/>
      <c r="M55" s="962"/>
      <c r="N55" s="962"/>
    </row>
    <row r="56" spans="3:14">
      <c r="C56" s="949">
        <f t="shared" si="1"/>
        <v>56</v>
      </c>
      <c r="D56" s="991"/>
      <c r="E56" s="992"/>
      <c r="F56" s="994"/>
      <c r="G56" s="994"/>
      <c r="H56" s="994"/>
      <c r="I56" s="994"/>
      <c r="J56" s="995"/>
      <c r="K56" s="1791"/>
      <c r="L56" s="1792"/>
      <c r="M56" s="962"/>
      <c r="N56" s="962"/>
    </row>
    <row r="57" spans="3:14">
      <c r="C57" s="949">
        <f t="shared" si="1"/>
        <v>57</v>
      </c>
      <c r="D57" s="991"/>
      <c r="E57" s="992"/>
      <c r="F57" s="994"/>
      <c r="G57" s="994"/>
      <c r="H57" s="994"/>
      <c r="I57" s="994"/>
      <c r="J57" s="995"/>
      <c r="K57" s="1791"/>
      <c r="L57" s="1792"/>
      <c r="M57" s="962"/>
      <c r="N57" s="962"/>
    </row>
    <row r="58" spans="3:14">
      <c r="C58" s="949">
        <f t="shared" si="1"/>
        <v>58</v>
      </c>
      <c r="D58" s="991"/>
      <c r="E58" s="992"/>
      <c r="F58" s="994"/>
      <c r="G58" s="994"/>
      <c r="H58" s="994"/>
      <c r="I58" s="994"/>
      <c r="J58" s="995"/>
      <c r="K58" s="1791"/>
      <c r="L58" s="1792"/>
      <c r="M58" s="962"/>
      <c r="N58" s="962"/>
    </row>
    <row r="59" spans="3:14">
      <c r="C59" s="949">
        <f t="shared" si="1"/>
        <v>59</v>
      </c>
      <c r="D59" s="991"/>
      <c r="E59" s="992"/>
      <c r="F59" s="994"/>
      <c r="G59" s="994"/>
      <c r="H59" s="994"/>
      <c r="I59" s="994"/>
      <c r="J59" s="995"/>
      <c r="K59" s="1791"/>
      <c r="L59" s="1792"/>
      <c r="M59" s="962"/>
      <c r="N59" s="962"/>
    </row>
    <row r="60" spans="3:14">
      <c r="C60" s="949">
        <f t="shared" si="1"/>
        <v>60</v>
      </c>
      <c r="D60" s="996"/>
      <c r="E60" s="997"/>
      <c r="F60" s="998"/>
      <c r="G60" s="998"/>
      <c r="H60" s="998"/>
      <c r="I60" s="998"/>
      <c r="J60" s="999"/>
      <c r="K60" s="1793"/>
      <c r="L60" s="1794"/>
      <c r="M60" s="962"/>
      <c r="N60" s="962"/>
    </row>
    <row r="61" spans="3:14">
      <c r="C61" s="949">
        <f t="shared" si="1"/>
        <v>61</v>
      </c>
      <c r="D61" s="957"/>
      <c r="E61" s="957"/>
      <c r="F61" s="957"/>
      <c r="G61" s="957"/>
      <c r="H61" s="957"/>
      <c r="I61" s="957"/>
      <c r="J61" s="957"/>
      <c r="K61" s="957"/>
      <c r="L61" s="957"/>
      <c r="M61" s="33"/>
      <c r="N61" s="33"/>
    </row>
    <row r="62" spans="3:14" ht="13">
      <c r="C62" s="949">
        <f t="shared" si="1"/>
        <v>62</v>
      </c>
      <c r="D62" s="946" t="s">
        <v>889</v>
      </c>
      <c r="E62" s="791"/>
      <c r="F62" s="791"/>
      <c r="G62" s="791"/>
      <c r="H62" s="791"/>
      <c r="I62" s="791"/>
      <c r="J62" s="791"/>
      <c r="K62" s="791"/>
      <c r="L62" s="947">
        <f ca="1">Ex_2_calcs!E28</f>
        <v>2</v>
      </c>
      <c r="M62" s="33"/>
      <c r="N62" s="33"/>
    </row>
    <row r="63" spans="3:14">
      <c r="C63" s="949">
        <f t="shared" si="1"/>
        <v>63</v>
      </c>
      <c r="D63" s="1719" t="str">
        <f ca="1">Ex_2_calcs!E29</f>
        <v>Please complete the answer.</v>
      </c>
      <c r="E63" s="1720"/>
      <c r="F63" s="1720"/>
      <c r="G63" s="1720"/>
      <c r="H63" s="1720"/>
      <c r="I63" s="1720"/>
      <c r="J63" s="1720"/>
      <c r="K63" s="1720"/>
      <c r="L63" s="1720"/>
      <c r="M63" s="362"/>
      <c r="N63" s="362"/>
    </row>
    <row r="64" spans="3:14">
      <c r="C64" s="949">
        <f t="shared" si="1"/>
        <v>64</v>
      </c>
      <c r="D64" s="1720"/>
      <c r="E64" s="1720"/>
      <c r="F64" s="1720"/>
      <c r="G64" s="1720"/>
      <c r="H64" s="1720"/>
      <c r="I64" s="1720"/>
      <c r="J64" s="1720"/>
      <c r="K64" s="1720"/>
      <c r="L64" s="1720"/>
      <c r="M64" s="33"/>
      <c r="N64" s="33"/>
    </row>
    <row r="65" spans="3:15">
      <c r="C65" s="33"/>
      <c r="M65" s="33"/>
      <c r="N65" s="33"/>
    </row>
    <row r="66" spans="3:15">
      <c r="C66" s="1754" t="str">
        <f>see_summary</f>
        <v>[See summary of answer status of all exercises].</v>
      </c>
      <c r="D66" s="1468"/>
      <c r="E66" s="1468"/>
      <c r="F66" s="1468"/>
      <c r="G66" s="1468"/>
      <c r="M66" s="33"/>
      <c r="N66" s="33"/>
    </row>
    <row r="67" spans="3:15">
      <c r="C67" s="33"/>
      <c r="M67" s="33"/>
      <c r="N67" s="33"/>
    </row>
    <row r="68" spans="3:15" customFormat="1">
      <c r="C68" s="1697" t="str">
        <f>back_to_index</f>
        <v>Back to contents</v>
      </c>
      <c r="D68" s="1697"/>
      <c r="G68" s="1674" t="str">
        <f>page_prefix &amp; page_Ex_2&amp; page_suffix</f>
        <v>- Page 45 -</v>
      </c>
      <c r="H68" s="1674"/>
      <c r="I68" s="1674"/>
      <c r="J68" s="1703"/>
      <c r="K68" s="1703"/>
      <c r="M68" s="32"/>
      <c r="N68" s="1673" t="str">
        <f>back_to_top</f>
        <v>Back to top</v>
      </c>
      <c r="O68" s="1673"/>
    </row>
    <row r="69" spans="3:15" customFormat="1">
      <c r="G69" s="1674" t="str">
        <f>copyright</f>
        <v>Copyright (c) 2009 Tykoh Group Pty Limited</v>
      </c>
      <c r="H69" s="1674"/>
      <c r="I69" s="1674"/>
      <c r="J69" s="1703"/>
      <c r="K69" s="1703"/>
    </row>
    <row r="70" spans="3:15" customFormat="1">
      <c r="G70" s="1452" t="str">
        <f>home_address</f>
        <v>www.tykoh.com</v>
      </c>
      <c r="H70" s="1452"/>
      <c r="I70" s="1452"/>
      <c r="J70" s="1452"/>
      <c r="K70" s="1452"/>
    </row>
    <row r="71" spans="3:15"/>
  </sheetData>
  <sheetProtection algorithmName="SHA-512" hashValue="oA9Abrlv9iMkPVKbKryIMEV5u6x7iRkSa0elOhgrRZQF5L4RAvQ7nYHlOnV1dYkypEIgt0nJZOSj9Du3+8wTdA==" saltValue="CGXJFwllw9nsA+WLMZWJ7g==" spinCount="100000" sheet="1" objects="1" scenarios="1"/>
  <mergeCells count="19">
    <mergeCell ref="G69:K69"/>
    <mergeCell ref="G70:K70"/>
    <mergeCell ref="N68:O68"/>
    <mergeCell ref="D52:J52"/>
    <mergeCell ref="K52:L60"/>
    <mergeCell ref="C68:D68"/>
    <mergeCell ref="D47:J47"/>
    <mergeCell ref="K50:L51"/>
    <mergeCell ref="G68:K68"/>
    <mergeCell ref="C39:O40"/>
    <mergeCell ref="D43:I43"/>
    <mergeCell ref="D63:L64"/>
    <mergeCell ref="C66:G66"/>
    <mergeCell ref="C26:O27"/>
    <mergeCell ref="C36:O37"/>
    <mergeCell ref="C5:L6"/>
    <mergeCell ref="M4:O8"/>
    <mergeCell ref="C29:L30"/>
    <mergeCell ref="M30:O34"/>
  </mergeCells>
  <phoneticPr fontId="2" type="noConversion"/>
  <conditionalFormatting sqref="D63:L64">
    <cfRule type="expression" dxfId="9" priority="1" stopIfTrue="1">
      <formula>$L$62=1</formula>
    </cfRule>
    <cfRule type="expression" dxfId="8" priority="2" stopIfTrue="1">
      <formula>$L$62=2</formula>
    </cfRule>
  </conditionalFormatting>
  <hyperlinks>
    <hyperlink ref="C66:G66" location="hh_Ex_Status" display="hh_Ex_Status" xr:uid="{00000000-0004-0000-3900-000000000000}"/>
    <hyperlink ref="N68:O68" location="hh_Ex_2" display="hh_Ex_2" xr:uid="{00000000-0004-0000-3900-000001000000}"/>
    <hyperlink ref="C68:D68" location="hh_index" display="hh_index" xr:uid="{00000000-0004-0000-3900-000002000000}"/>
    <hyperlink ref="G70:K70" r:id="rId1" display="https://www.tykoh.com/" xr:uid="{00000000-0004-0000-3900-000003000000}"/>
  </hyperlinks>
  <pageMargins left="0.75" right="0.75" top="1" bottom="1" header="0.5" footer="0.5"/>
  <pageSetup scale="74" orientation="portrait" r:id="rId2"/>
  <headerFooter alignWithMargins="0"/>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5">
    <pageSetUpPr fitToPage="1"/>
  </sheetPr>
  <dimension ref="C1:O84"/>
  <sheetViews>
    <sheetView showGridLines="0" showRowColHeaders="0" workbookViewId="0"/>
  </sheetViews>
  <sheetFormatPr defaultColWidth="0" defaultRowHeight="12.5" zeroHeight="1"/>
  <cols>
    <col min="1" max="2" width="1" style="32" customWidth="1"/>
    <col min="3" max="15" width="9.1796875" style="32" customWidth="1"/>
    <col min="16" max="16" width="1.81640625" style="32" customWidth="1"/>
    <col min="17" max="16384" width="0" style="32" hidden="1"/>
  </cols>
  <sheetData>
    <row r="1" spans="3:15"/>
    <row r="2" spans="3:15">
      <c r="C2" s="103"/>
      <c r="D2" s="103"/>
      <c r="E2" s="103"/>
      <c r="F2" s="103"/>
      <c r="G2" s="103"/>
      <c r="H2" s="103"/>
      <c r="I2" s="103"/>
      <c r="J2" s="103"/>
      <c r="K2" s="103"/>
      <c r="L2" s="103"/>
      <c r="M2" s="103"/>
      <c r="N2" s="103"/>
      <c r="O2" s="103"/>
    </row>
    <row r="3" spans="3:15" ht="16" thickBot="1">
      <c r="C3" s="416" t="s">
        <v>1184</v>
      </c>
    </row>
    <row r="4" spans="3:15" ht="13" thickTop="1">
      <c r="M4" s="1663" t="str">
        <f ca="1">OFFSET(ad_first,OFFSET(ads_top,ROW(ads_Ex_4)-1,1),0)</f>
        <v>Our financial modelling course shows the essential building blocks of efficient and well-presented financial models</v>
      </c>
      <c r="N4" s="1746"/>
      <c r="O4" s="1747"/>
    </row>
    <row r="5" spans="3:15">
      <c r="C5" s="1585" t="s">
        <v>1191</v>
      </c>
      <c r="D5" s="1585"/>
      <c r="E5" s="1585"/>
      <c r="F5" s="1585"/>
      <c r="G5" s="1585"/>
      <c r="H5" s="1585"/>
      <c r="I5" s="1585"/>
      <c r="J5" s="1585"/>
      <c r="K5" s="1585"/>
      <c r="L5" s="1585"/>
      <c r="M5" s="1748"/>
      <c r="N5" s="1749"/>
      <c r="O5" s="1750"/>
    </row>
    <row r="6" spans="3:15">
      <c r="C6" s="1585"/>
      <c r="D6" s="1585"/>
      <c r="E6" s="1585"/>
      <c r="F6" s="1585"/>
      <c r="G6" s="1585"/>
      <c r="H6" s="1585"/>
      <c r="I6" s="1585"/>
      <c r="J6" s="1585"/>
      <c r="K6" s="1585"/>
      <c r="L6" s="1585"/>
      <c r="M6" s="1748"/>
      <c r="N6" s="1749"/>
      <c r="O6" s="1750"/>
    </row>
    <row r="7" spans="3:15">
      <c r="C7" s="1585"/>
      <c r="D7" s="1585"/>
      <c r="E7" s="1585"/>
      <c r="F7" s="1585"/>
      <c r="G7" s="1585"/>
      <c r="H7" s="1585"/>
      <c r="I7" s="1585"/>
      <c r="J7" s="1585"/>
      <c r="K7" s="1585"/>
      <c r="L7" s="1585"/>
      <c r="M7" s="1748"/>
      <c r="N7" s="1749"/>
      <c r="O7" s="1750"/>
    </row>
    <row r="8" spans="3:15" ht="13" thickBot="1">
      <c r="M8" s="1751"/>
      <c r="N8" s="1752"/>
      <c r="O8" s="1753"/>
    </row>
    <row r="9" spans="3:15" ht="13" thickTop="1">
      <c r="C9" s="1585" t="s">
        <v>1192</v>
      </c>
      <c r="D9" s="1585"/>
      <c r="E9" s="1585"/>
      <c r="F9" s="1585"/>
      <c r="G9" s="1585"/>
      <c r="H9" s="1585"/>
      <c r="I9" s="1585"/>
      <c r="J9" s="1585"/>
      <c r="K9" s="1585"/>
      <c r="L9" s="1585"/>
      <c r="M9" s="1347"/>
      <c r="N9" s="1347"/>
      <c r="O9" s="1347"/>
    </row>
    <row r="10" spans="3:15">
      <c r="C10" s="1585"/>
      <c r="D10" s="1585"/>
      <c r="E10" s="1585"/>
      <c r="F10" s="1585"/>
      <c r="G10" s="1585"/>
      <c r="H10" s="1585"/>
      <c r="I10" s="1585"/>
      <c r="J10" s="1585"/>
      <c r="K10" s="1585"/>
      <c r="L10" s="1585"/>
      <c r="M10" s="1347"/>
      <c r="N10" s="1347"/>
      <c r="O10" s="1347"/>
    </row>
    <row r="11" spans="3:15">
      <c r="C11" s="1585"/>
      <c r="D11" s="1585"/>
      <c r="E11" s="1585"/>
      <c r="F11" s="1585"/>
      <c r="G11" s="1585"/>
      <c r="H11" s="1585"/>
      <c r="I11" s="1585"/>
      <c r="J11" s="1585"/>
      <c r="K11" s="1585"/>
      <c r="L11" s="1585"/>
      <c r="M11" s="1347"/>
      <c r="N11" s="1347"/>
      <c r="O11" s="1347"/>
    </row>
    <row r="12" spans="3:15">
      <c r="C12" s="1585"/>
      <c r="D12" s="1585"/>
      <c r="E12" s="1585"/>
      <c r="F12" s="1585"/>
      <c r="G12" s="1585"/>
      <c r="H12" s="1585"/>
      <c r="I12" s="1585"/>
      <c r="J12" s="1585"/>
      <c r="K12" s="1585"/>
      <c r="L12" s="1585"/>
      <c r="M12" s="776"/>
      <c r="N12" s="776"/>
      <c r="O12" s="776"/>
    </row>
    <row r="13" spans="3:15"/>
    <row r="14" spans="3:15" ht="13">
      <c r="C14" s="772" t="str">
        <f>degree_of_difficulty</f>
        <v>Degree of difficulty (1=easy, 10=extremely difficult)</v>
      </c>
    </row>
    <row r="15" spans="3:15">
      <c r="C15" s="1026">
        <v>10</v>
      </c>
    </row>
    <row r="16" spans="3:15"/>
    <row r="17" spans="3:15" ht="13">
      <c r="C17" s="772" t="s">
        <v>890</v>
      </c>
    </row>
    <row r="18" spans="3:15">
      <c r="C18" s="1585" t="s">
        <v>1057</v>
      </c>
      <c r="D18" s="1585"/>
      <c r="E18" s="1585"/>
      <c r="F18" s="1585"/>
      <c r="G18" s="1585"/>
      <c r="H18" s="1585"/>
      <c r="I18" s="1585"/>
      <c r="J18" s="1585"/>
      <c r="K18" s="1585"/>
      <c r="L18" s="1585"/>
      <c r="M18" s="1585"/>
      <c r="N18" s="1585"/>
      <c r="O18" s="1585"/>
    </row>
    <row r="19" spans="3:15">
      <c r="C19" s="1585"/>
      <c r="D19" s="1585"/>
      <c r="E19" s="1585"/>
      <c r="F19" s="1585"/>
      <c r="G19" s="1585"/>
      <c r="H19" s="1585"/>
      <c r="I19" s="1585"/>
      <c r="J19" s="1585"/>
      <c r="K19" s="1585"/>
      <c r="L19" s="1585"/>
      <c r="M19" s="1585"/>
      <c r="N19" s="1585"/>
      <c r="O19" s="1585"/>
    </row>
    <row r="20" spans="3:15"/>
    <row r="21" spans="3:15">
      <c r="C21" s="1014"/>
      <c r="D21" s="948" t="str">
        <f t="shared" ref="D21:M21" si="0">CHAR(CODE("A")+COLUMN(C:C))</f>
        <v>D</v>
      </c>
      <c r="E21" s="948" t="str">
        <f t="shared" si="0"/>
        <v>E</v>
      </c>
      <c r="F21" s="948" t="str">
        <f t="shared" si="0"/>
        <v>F</v>
      </c>
      <c r="G21" s="857" t="str">
        <f t="shared" si="0"/>
        <v>G</v>
      </c>
      <c r="H21" s="857" t="str">
        <f t="shared" si="0"/>
        <v>H</v>
      </c>
      <c r="I21" s="857" t="str">
        <f t="shared" si="0"/>
        <v>I</v>
      </c>
      <c r="J21" s="857" t="str">
        <f t="shared" si="0"/>
        <v>J</v>
      </c>
      <c r="K21" s="857" t="str">
        <f t="shared" si="0"/>
        <v>K</v>
      </c>
      <c r="L21" s="857" t="str">
        <f t="shared" si="0"/>
        <v>L</v>
      </c>
      <c r="M21" s="857" t="str">
        <f t="shared" si="0"/>
        <v>M</v>
      </c>
    </row>
    <row r="22" spans="3:15" ht="13">
      <c r="C22" s="857">
        <f t="shared" ref="C22:C28" si="1">ROW(22:22)</f>
        <v>22</v>
      </c>
      <c r="D22" s="1152" t="s">
        <v>1186</v>
      </c>
      <c r="E22" s="1052"/>
      <c r="F22" s="1800">
        <v>40360</v>
      </c>
      <c r="G22" s="1801"/>
      <c r="H22" s="947">
        <f ca="1">F23+1</f>
        <v>40391</v>
      </c>
      <c r="I22" s="791"/>
      <c r="J22" s="791"/>
      <c r="K22" s="1798" t="s">
        <v>1188</v>
      </c>
      <c r="L22" s="1798"/>
      <c r="M22" s="1799"/>
    </row>
    <row r="23" spans="3:15" ht="13">
      <c r="C23" s="857">
        <f t="shared" si="1"/>
        <v>23</v>
      </c>
      <c r="D23" s="1153" t="s">
        <v>1190</v>
      </c>
      <c r="E23" s="1149"/>
      <c r="F23" s="1802">
        <f ca="1">OFFSET(D44,MATCH(F22,D44:D50,0),0)-1</f>
        <v>40390</v>
      </c>
      <c r="G23" s="1724"/>
      <c r="I23" s="791"/>
      <c r="J23" s="791"/>
      <c r="K23" s="1796" t="s">
        <v>1189</v>
      </c>
      <c r="L23" s="1797"/>
      <c r="M23" s="1797"/>
    </row>
    <row r="24" spans="3:15" ht="13">
      <c r="C24" s="949">
        <f t="shared" si="1"/>
        <v>24</v>
      </c>
      <c r="D24" s="1757" t="s">
        <v>460</v>
      </c>
      <c r="E24" s="1758"/>
      <c r="F24" s="1150"/>
      <c r="H24" s="791"/>
      <c r="I24" s="791"/>
      <c r="J24" s="791"/>
      <c r="K24" s="1354" t="s">
        <v>1391</v>
      </c>
      <c r="L24" s="1795" t="s">
        <v>494</v>
      </c>
      <c r="M24" s="1795"/>
    </row>
    <row r="25" spans="3:15" ht="12.75" customHeight="1">
      <c r="C25" s="949">
        <f t="shared" si="1"/>
        <v>25</v>
      </c>
      <c r="D25" s="1760"/>
      <c r="E25" s="1761"/>
      <c r="F25" s="1151"/>
      <c r="G25" s="1148" t="s">
        <v>1187</v>
      </c>
      <c r="H25" s="791"/>
      <c r="I25" s="791"/>
      <c r="J25" s="791"/>
      <c r="K25" s="1144">
        <v>40177</v>
      </c>
      <c r="L25" s="1803">
        <v>40180</v>
      </c>
      <c r="M25" s="1804"/>
    </row>
    <row r="26" spans="3:15">
      <c r="C26" s="857">
        <f t="shared" si="1"/>
        <v>26</v>
      </c>
      <c r="D26" s="963"/>
      <c r="E26" s="963"/>
      <c r="F26" s="963"/>
      <c r="G26" s="791"/>
      <c r="H26" s="791"/>
      <c r="I26" s="791"/>
      <c r="J26" s="791"/>
      <c r="K26" s="1144">
        <v>40183</v>
      </c>
      <c r="L26" s="1803">
        <v>40184</v>
      </c>
      <c r="M26" s="1804"/>
    </row>
    <row r="27" spans="3:15">
      <c r="C27" s="857">
        <f t="shared" si="1"/>
        <v>27</v>
      </c>
      <c r="D27" s="791"/>
      <c r="E27" s="791"/>
      <c r="F27" s="791"/>
      <c r="G27" s="791"/>
      <c r="H27" s="791"/>
      <c r="I27" s="791"/>
      <c r="J27" s="791"/>
      <c r="K27" s="1144">
        <v>40209</v>
      </c>
      <c r="L27" s="1803">
        <v>40209</v>
      </c>
      <c r="M27" s="1804"/>
    </row>
    <row r="28" spans="3:15" ht="13">
      <c r="C28" s="857">
        <f t="shared" si="1"/>
        <v>28</v>
      </c>
      <c r="D28" s="946"/>
      <c r="E28" s="791"/>
      <c r="F28" s="1138"/>
      <c r="G28" s="791"/>
      <c r="H28" s="791"/>
      <c r="I28" s="791"/>
      <c r="J28" s="791"/>
      <c r="K28" s="1144">
        <v>40236</v>
      </c>
      <c r="L28" s="1803">
        <v>40239</v>
      </c>
      <c r="M28" s="1804"/>
    </row>
    <row r="29" spans="3:15" ht="13">
      <c r="C29" s="857">
        <f t="shared" ref="C29:C38" si="2">ROW(29:29)</f>
        <v>29</v>
      </c>
      <c r="D29" s="946"/>
      <c r="E29" s="791"/>
      <c r="F29" s="1138"/>
      <c r="G29" s="791"/>
      <c r="H29" s="791"/>
      <c r="I29" s="791"/>
      <c r="J29" s="791"/>
      <c r="K29" s="1144">
        <v>40300</v>
      </c>
      <c r="L29" s="1803">
        <v>40360</v>
      </c>
      <c r="M29" s="1804"/>
    </row>
    <row r="30" spans="3:15" ht="13">
      <c r="C30" s="857">
        <f t="shared" si="2"/>
        <v>30</v>
      </c>
      <c r="D30" s="946" t="s">
        <v>1206</v>
      </c>
      <c r="E30" s="1143"/>
      <c r="F30" s="1147"/>
      <c r="G30" s="1143"/>
      <c r="H30" s="1143"/>
      <c r="I30" s="1143"/>
      <c r="J30" s="1143"/>
      <c r="K30" s="1144"/>
      <c r="L30" s="1145"/>
      <c r="M30" s="1146"/>
    </row>
    <row r="31" spans="3:15">
      <c r="C31" s="857">
        <f t="shared" si="2"/>
        <v>31</v>
      </c>
      <c r="D31" s="994"/>
      <c r="E31" s="994"/>
      <c r="F31" s="1355"/>
      <c r="G31" s="994"/>
      <c r="H31" s="994"/>
      <c r="I31" s="994"/>
      <c r="J31" s="994"/>
      <c r="K31" s="1356"/>
      <c r="L31" s="1357"/>
      <c r="M31" s="1358"/>
    </row>
    <row r="32" spans="3:15">
      <c r="C32" s="857">
        <f t="shared" si="2"/>
        <v>32</v>
      </c>
      <c r="D32" s="994"/>
      <c r="E32" s="994"/>
      <c r="F32" s="1355"/>
      <c r="G32" s="994"/>
      <c r="H32" s="994"/>
      <c r="I32" s="994"/>
      <c r="J32" s="994"/>
      <c r="K32" s="1356"/>
      <c r="L32" s="1357"/>
      <c r="M32" s="1358"/>
    </row>
    <row r="33" spans="3:13">
      <c r="C33" s="857">
        <f t="shared" si="2"/>
        <v>33</v>
      </c>
      <c r="D33" s="994"/>
      <c r="E33" s="994"/>
      <c r="F33" s="1355"/>
      <c r="G33" s="994"/>
      <c r="H33" s="994"/>
      <c r="I33" s="994"/>
      <c r="J33" s="994"/>
      <c r="K33" s="1356"/>
      <c r="L33" s="1357"/>
      <c r="M33" s="1358"/>
    </row>
    <row r="34" spans="3:13">
      <c r="C34" s="857">
        <f t="shared" si="2"/>
        <v>34</v>
      </c>
      <c r="D34" s="994"/>
      <c r="E34" s="994"/>
      <c r="F34" s="1355"/>
      <c r="G34" s="994"/>
      <c r="H34" s="994"/>
      <c r="I34" s="994"/>
      <c r="J34" s="994"/>
      <c r="K34" s="1356"/>
      <c r="L34" s="1357"/>
      <c r="M34" s="1358"/>
    </row>
    <row r="35" spans="3:13">
      <c r="C35" s="857">
        <f t="shared" si="2"/>
        <v>35</v>
      </c>
      <c r="D35" s="791"/>
      <c r="E35" s="791"/>
      <c r="F35" s="1138"/>
      <c r="G35" s="791"/>
      <c r="H35" s="791"/>
      <c r="I35" s="791"/>
      <c r="J35" s="791"/>
      <c r="K35" s="1144"/>
      <c r="L35" s="1145"/>
      <c r="M35" s="1146"/>
    </row>
    <row r="36" spans="3:13" ht="13">
      <c r="C36" s="857">
        <f t="shared" si="2"/>
        <v>36</v>
      </c>
      <c r="D36" s="946" t="s">
        <v>889</v>
      </c>
      <c r="E36" s="791"/>
      <c r="F36" s="1138"/>
      <c r="G36" s="791"/>
      <c r="H36" s="791"/>
      <c r="I36" s="791"/>
      <c r="J36" s="791"/>
      <c r="K36" s="1144"/>
      <c r="L36" s="1145"/>
      <c r="M36" s="1348">
        <f>D64</f>
        <v>2</v>
      </c>
    </row>
    <row r="37" spans="3:13">
      <c r="C37" s="857">
        <f t="shared" si="2"/>
        <v>37</v>
      </c>
      <c r="D37" s="1757" t="str">
        <f>CHOOSE(D64,D66,answer_complete,answer_correct)</f>
        <v>Please complete the answer.</v>
      </c>
      <c r="E37" s="1758"/>
      <c r="F37" s="1758"/>
      <c r="G37" s="1758"/>
      <c r="H37" s="1758"/>
      <c r="I37" s="1758"/>
      <c r="J37" s="1758"/>
      <c r="K37" s="1758"/>
      <c r="L37" s="1758"/>
      <c r="M37" s="1759"/>
    </row>
    <row r="38" spans="3:13">
      <c r="C38" s="857">
        <f t="shared" si="2"/>
        <v>38</v>
      </c>
      <c r="D38" s="1760"/>
      <c r="E38" s="1761"/>
      <c r="F38" s="1761"/>
      <c r="G38" s="1761"/>
      <c r="H38" s="1761"/>
      <c r="I38" s="1761"/>
      <c r="J38" s="1761"/>
      <c r="K38" s="1761"/>
      <c r="L38" s="1761"/>
      <c r="M38" s="1762"/>
    </row>
    <row r="39" spans="3:13"/>
    <row r="40" spans="3:13" hidden="1">
      <c r="D40" s="32" t="s">
        <v>1185</v>
      </c>
      <c r="F40" s="32">
        <f t="array" aca="1" ref="F40" ca="1">H22-F22-SUM(($L$25:$L$29&gt;=F22)*($K$25:$K$29&lt;=H22)*(IF($L$25:$L$29&gt;=H22,H22-1,$L$25:$L$29)-IF($K$25:$K$29&gt;F22,$K$25:$K$29,F22)+1))</f>
        <v>30</v>
      </c>
    </row>
    <row r="42" spans="3:13" hidden="1">
      <c r="D42" s="1093"/>
      <c r="E42" s="1094" t="s">
        <v>977</v>
      </c>
      <c r="F42" s="1095" t="s">
        <v>978</v>
      </c>
    </row>
    <row r="43" spans="3:13" hidden="1">
      <c r="D43" s="201"/>
      <c r="E43" s="33">
        <f ca="1">F40</f>
        <v>30</v>
      </c>
      <c r="F43" s="1378">
        <f>F25</f>
        <v>0</v>
      </c>
      <c r="G43" s="32" t="s">
        <v>979</v>
      </c>
      <c r="H43" s="1139"/>
      <c r="I43" s="1139"/>
      <c r="J43" s="1377"/>
      <c r="K43" s="33"/>
    </row>
    <row r="44" spans="3:13" hidden="1">
      <c r="D44" s="1140">
        <v>40179</v>
      </c>
      <c r="E44" s="33">
        <f t="dataTable" ref="E44:F50" dt2D="0" dtr="0" r1="F22" ca="1"/>
        <v>26</v>
      </c>
      <c r="F44" s="646">
        <v>0</v>
      </c>
      <c r="G44" s="32">
        <f t="shared" ref="G44:G50" si="3">IF(F44&lt;&gt;E44,1,0)</f>
        <v>1</v>
      </c>
      <c r="J44" s="1377"/>
      <c r="K44" s="33"/>
    </row>
    <row r="45" spans="3:13" hidden="1">
      <c r="D45" s="1140">
        <v>40210</v>
      </c>
      <c r="E45" s="33">
        <v>26</v>
      </c>
      <c r="F45" s="646">
        <v>0</v>
      </c>
      <c r="G45" s="32">
        <f t="shared" si="3"/>
        <v>1</v>
      </c>
      <c r="J45" s="1377"/>
      <c r="K45" s="33"/>
    </row>
    <row r="46" spans="3:13" hidden="1">
      <c r="D46" s="1140">
        <v>40238</v>
      </c>
      <c r="E46" s="33">
        <v>29</v>
      </c>
      <c r="F46" s="646">
        <v>0</v>
      </c>
      <c r="G46" s="32">
        <f t="shared" si="3"/>
        <v>1</v>
      </c>
      <c r="J46" s="1377"/>
      <c r="K46" s="33"/>
    </row>
    <row r="47" spans="3:13" hidden="1">
      <c r="D47" s="1140">
        <v>40269</v>
      </c>
      <c r="E47" s="33">
        <v>30</v>
      </c>
      <c r="F47" s="646">
        <v>0</v>
      </c>
      <c r="G47" s="32">
        <f t="shared" si="3"/>
        <v>1</v>
      </c>
      <c r="J47" s="1377"/>
      <c r="K47" s="33"/>
    </row>
    <row r="48" spans="3:13" hidden="1">
      <c r="D48" s="1140">
        <v>40299</v>
      </c>
      <c r="E48" s="33">
        <v>1</v>
      </c>
      <c r="F48" s="646">
        <v>0</v>
      </c>
      <c r="G48" s="32">
        <f t="shared" si="3"/>
        <v>1</v>
      </c>
      <c r="J48" s="1377"/>
      <c r="K48" s="33"/>
    </row>
    <row r="49" spans="4:15" hidden="1">
      <c r="D49" s="1140">
        <v>40330</v>
      </c>
      <c r="E49" s="33">
        <v>0</v>
      </c>
      <c r="F49" s="646">
        <v>0</v>
      </c>
      <c r="G49" s="32">
        <f t="shared" si="3"/>
        <v>0</v>
      </c>
      <c r="J49" s="1377"/>
      <c r="K49" s="33"/>
    </row>
    <row r="50" spans="4:15" hidden="1">
      <c r="D50" s="1141">
        <v>40360</v>
      </c>
      <c r="E50" s="687">
        <v>30</v>
      </c>
      <c r="F50" s="688">
        <v>0</v>
      </c>
      <c r="G50" s="32">
        <f t="shared" si="3"/>
        <v>1</v>
      </c>
      <c r="J50" s="1377"/>
      <c r="K50" s="33"/>
    </row>
    <row r="51" spans="4:15" hidden="1">
      <c r="D51" s="1139">
        <v>40391</v>
      </c>
    </row>
    <row r="52" spans="4:15" hidden="1">
      <c r="E52" s="32" t="s">
        <v>1059</v>
      </c>
      <c r="G52" s="32">
        <f>MATCH(1,G44:G50,0)-1</f>
        <v>0</v>
      </c>
    </row>
    <row r="54" spans="4:15" hidden="1">
      <c r="D54" s="32" t="s">
        <v>997</v>
      </c>
      <c r="H54" s="32" t="b">
        <f>LEN(F25)=0</f>
        <v>1</v>
      </c>
    </row>
    <row r="55" spans="4:15" hidden="1">
      <c r="D55" s="32" t="s">
        <v>1058</v>
      </c>
      <c r="H55" s="32" t="b">
        <f>SUM(G44:G50)=0</f>
        <v>0</v>
      </c>
    </row>
    <row r="56" spans="4:15" hidden="1">
      <c r="D56" s="32" t="s">
        <v>1220</v>
      </c>
      <c r="H56" s="32" t="b">
        <f>AND(NOT(H54),NOT(H55))</f>
        <v>0</v>
      </c>
    </row>
    <row r="58" spans="4:15" hidden="1">
      <c r="D58" s="635" t="s">
        <v>996</v>
      </c>
    </row>
    <row r="59" spans="4:15" hidden="1">
      <c r="D59" s="32" t="str">
        <f ca="1">"Your answer is " &amp; F25 &amp; " but the correct answer is " &amp; F40 &amp; "."</f>
        <v>Your answer is  but the correct answer is 30.</v>
      </c>
    </row>
    <row r="61" spans="4:15" hidden="1">
      <c r="D61" s="635" t="s">
        <v>995</v>
      </c>
    </row>
    <row r="62" spans="4:15" hidden="1">
      <c r="D62" s="1585" t="str">
        <f ca="1">"That answer is correct.  However, if the date chosen is " &amp; TEXT(OFFSET(D44,G52,0),"d-mmm-yy") &amp; " to " &amp; TEXT(OFFSET(D44,G52+1,0)-1,"d-mmm-yy") &amp; " your answer would be " &amp; OFFSET(F44,G52,0) &amp; ". But the correct answer in that case is " &amp; OFFSET(E44,G52,0) &amp; "."</f>
        <v>That answer is correct.  However, if the date chosen is 1-Jan-10 to 31-Jan-10 your answer would be 0. But the correct answer in that case is 26.</v>
      </c>
      <c r="E62" s="1585"/>
      <c r="F62" s="1585"/>
      <c r="G62" s="1585"/>
      <c r="H62" s="1585"/>
      <c r="I62" s="1585"/>
      <c r="J62" s="1585"/>
      <c r="K62" s="1585"/>
      <c r="L62" s="1585"/>
      <c r="M62" s="1585"/>
      <c r="N62" s="1585"/>
      <c r="O62" s="1585"/>
    </row>
    <row r="63" spans="4:15" hidden="1">
      <c r="D63" s="1585"/>
      <c r="E63" s="1585"/>
      <c r="F63" s="1585"/>
      <c r="G63" s="1585"/>
      <c r="H63" s="1585"/>
      <c r="I63" s="1585"/>
      <c r="J63" s="1585"/>
      <c r="K63" s="1585"/>
      <c r="L63" s="1585"/>
      <c r="M63" s="1585"/>
      <c r="N63" s="1585"/>
      <c r="O63" s="1585"/>
    </row>
    <row r="64" spans="4:15" hidden="1">
      <c r="D64" s="32">
        <f>IF(H56,1,IF(H55,3,2))</f>
        <v>2</v>
      </c>
      <c r="F64" s="32" t="s">
        <v>1060</v>
      </c>
    </row>
    <row r="65" spans="3:10" hidden="1">
      <c r="D65" s="1093" t="s">
        <v>999</v>
      </c>
      <c r="E65" s="1094"/>
      <c r="F65" s="1094"/>
      <c r="G65" s="1094"/>
      <c r="H65" s="1095"/>
    </row>
    <row r="66" spans="3:10" hidden="1">
      <c r="D66" s="686" t="str">
        <f ca="1">IF(F40=F25,D62,D59)</f>
        <v>Your answer is  but the correct answer is 30.</v>
      </c>
      <c r="E66" s="687"/>
      <c r="F66" s="687"/>
      <c r="G66" s="687"/>
      <c r="H66" s="688"/>
    </row>
    <row r="68" spans="3:10" hidden="1">
      <c r="D68" s="1755" t="s">
        <v>1054</v>
      </c>
      <c r="E68" s="1755"/>
      <c r="F68" s="1755"/>
      <c r="G68" s="1755"/>
      <c r="H68" s="1755"/>
      <c r="I68" s="1755"/>
      <c r="J68" s="1755"/>
    </row>
    <row r="69" spans="3:10" hidden="1">
      <c r="D69" s="1755"/>
      <c r="E69" s="1755"/>
      <c r="F69" s="1755"/>
      <c r="G69" s="1755"/>
      <c r="H69" s="1755"/>
      <c r="I69" s="1755"/>
      <c r="J69" s="1755"/>
    </row>
    <row r="70" spans="3:10" hidden="1">
      <c r="D70" s="1755"/>
      <c r="E70" s="1755"/>
      <c r="F70" s="1755"/>
      <c r="G70" s="1755"/>
      <c r="H70" s="1755"/>
      <c r="I70" s="1755"/>
      <c r="J70" s="1755"/>
    </row>
    <row r="71" spans="3:10" hidden="1">
      <c r="D71" s="1755"/>
      <c r="E71" s="1755"/>
      <c r="F71" s="1755"/>
      <c r="G71" s="1755"/>
      <c r="H71" s="1755"/>
      <c r="I71" s="1755"/>
      <c r="J71" s="1755"/>
    </row>
    <row r="73" spans="3:10" hidden="1">
      <c r="D73" s="32" t="str">
        <f>CHOOSE(D64,D66,answer_complete,answer_correct)</f>
        <v>Please complete the answer.</v>
      </c>
    </row>
    <row r="79" spans="3:10">
      <c r="C79" s="1754" t="str">
        <f>see_summary</f>
        <v>[See summary of answer status of all exercises].</v>
      </c>
      <c r="D79" s="1468"/>
      <c r="E79" s="1468"/>
      <c r="F79" s="1468"/>
      <c r="G79" s="1468"/>
    </row>
    <row r="80" spans="3:10"/>
    <row r="81" spans="3:15">
      <c r="C81" s="1697" t="str">
        <f>back_to_index</f>
        <v>Back to contents</v>
      </c>
      <c r="D81" s="1697"/>
      <c r="G81" s="1530" t="str">
        <f>page_prefix &amp; page_Ex_4&amp; page_suffix</f>
        <v>- Page 46 -</v>
      </c>
      <c r="H81" s="1530"/>
      <c r="I81" s="1530"/>
      <c r="J81" s="1481"/>
      <c r="K81" s="1481"/>
      <c r="N81" s="1640" t="str">
        <f>back_to_top</f>
        <v>Back to top</v>
      </c>
      <c r="O81" s="1640"/>
    </row>
    <row r="82" spans="3:15">
      <c r="G82" s="1530" t="str">
        <f>copyright</f>
        <v>Copyright (c) 2009 Tykoh Group Pty Limited</v>
      </c>
      <c r="H82" s="1530"/>
      <c r="I82" s="1530"/>
      <c r="J82" s="1481"/>
      <c r="K82" s="1481"/>
    </row>
    <row r="83" spans="3:15">
      <c r="G83" s="1452" t="str">
        <f>home_address</f>
        <v>www.tykoh.com</v>
      </c>
      <c r="H83" s="1452"/>
      <c r="I83" s="1452"/>
      <c r="J83" s="1452"/>
      <c r="K83" s="1452"/>
    </row>
    <row r="84" spans="3:15"/>
  </sheetData>
  <sheetProtection algorithmName="SHA-512" hashValue="w/j0psLAunvLfOk0iYF6VBh1K2Fl2qmrV4LK4Ere3ht27Zs6cfzgsPtttg7YOZUiLq69igteWej7U/x9x0phSA==" saltValue="+PeqOPQYnbnohF0OHVU4CQ==" spinCount="100000" sheet="1" objects="1" scenarios="1"/>
  <mergeCells count="24">
    <mergeCell ref="L28:M28"/>
    <mergeCell ref="L25:M25"/>
    <mergeCell ref="L26:M26"/>
    <mergeCell ref="L27:M27"/>
    <mergeCell ref="G83:K83"/>
    <mergeCell ref="L29:M29"/>
    <mergeCell ref="G82:K82"/>
    <mergeCell ref="C81:D81"/>
    <mergeCell ref="G81:K81"/>
    <mergeCell ref="D37:M38"/>
    <mergeCell ref="D68:J71"/>
    <mergeCell ref="D62:O63"/>
    <mergeCell ref="N81:O81"/>
    <mergeCell ref="C79:G79"/>
    <mergeCell ref="D24:E25"/>
    <mergeCell ref="L24:M24"/>
    <mergeCell ref="C5:L7"/>
    <mergeCell ref="C9:L12"/>
    <mergeCell ref="M4:O8"/>
    <mergeCell ref="C18:O19"/>
    <mergeCell ref="K23:M23"/>
    <mergeCell ref="K22:M22"/>
    <mergeCell ref="F22:G22"/>
    <mergeCell ref="F23:G23"/>
  </mergeCells>
  <phoneticPr fontId="2" type="noConversion"/>
  <conditionalFormatting sqref="D37:M38">
    <cfRule type="expression" dxfId="7" priority="1" stopIfTrue="1">
      <formula>$M$36=1</formula>
    </cfRule>
    <cfRule type="expression" dxfId="6" priority="2" stopIfTrue="1">
      <formula>$M$36=2</formula>
    </cfRule>
  </conditionalFormatting>
  <dataValidations count="1">
    <dataValidation type="list" allowBlank="1" showInputMessage="1" showErrorMessage="1" sqref="F22" xr:uid="{00000000-0002-0000-3A00-000000000000}">
      <formula1>$D$44:$D$50</formula1>
    </dataValidation>
  </dataValidations>
  <hyperlinks>
    <hyperlink ref="C79:G79" location="hh_Ex_Status" display="hh_Ex_Status" xr:uid="{00000000-0004-0000-3A00-000000000000}"/>
    <hyperlink ref="N81:O81" location="hh_Ex_4" display="hh_Ex_4" xr:uid="{00000000-0004-0000-3A00-000001000000}"/>
    <hyperlink ref="C81:D81" location="hh_index" display="hh_index" xr:uid="{00000000-0004-0000-3A00-000002000000}"/>
    <hyperlink ref="G83:K83" r:id="rId1" display="https://www.tykoh.com/" xr:uid="{00000000-0004-0000-3A00-000003000000}"/>
  </hyperlinks>
  <pageMargins left="0.75" right="0.75" top="1" bottom="1" header="0.5" footer="0.5"/>
  <pageSetup paperSize="9" scale="71"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3"/>
  <dimension ref="A1:C40"/>
  <sheetViews>
    <sheetView workbookViewId="0"/>
  </sheetViews>
  <sheetFormatPr defaultRowHeight="12.5"/>
  <cols>
    <col min="1" max="2" width="1" customWidth="1"/>
  </cols>
  <sheetData>
    <row r="1" spans="1:3">
      <c r="A1" s="1" t="s">
        <v>666</v>
      </c>
      <c r="B1" s="1"/>
      <c r="C1" t="s">
        <v>1390</v>
      </c>
    </row>
    <row r="2" spans="1:3">
      <c r="A2" s="1">
        <v>40073</v>
      </c>
      <c r="B2" s="1" t="str">
        <f t="shared" ref="B2:B40" si="0">TEXT(A2,"d/mm/yy")</f>
        <v>17/09/09</v>
      </c>
      <c r="C2">
        <v>4714.8999999999996</v>
      </c>
    </row>
    <row r="3" spans="1:3">
      <c r="A3" s="1">
        <v>40074</v>
      </c>
      <c r="B3" s="1" t="str">
        <f t="shared" si="0"/>
        <v>18/09/09</v>
      </c>
      <c r="C3">
        <v>4693.2</v>
      </c>
    </row>
    <row r="4" spans="1:3">
      <c r="A4" s="1">
        <v>40077</v>
      </c>
      <c r="B4" s="1" t="str">
        <f t="shared" si="0"/>
        <v>21/09/09</v>
      </c>
      <c r="C4">
        <v>4677.3999999999996</v>
      </c>
    </row>
    <row r="5" spans="1:3">
      <c r="A5" s="1">
        <v>40078</v>
      </c>
      <c r="B5" s="1" t="str">
        <f t="shared" si="0"/>
        <v>22/09/09</v>
      </c>
      <c r="C5">
        <v>4663.7</v>
      </c>
    </row>
    <row r="6" spans="1:3">
      <c r="A6" s="1">
        <v>40079</v>
      </c>
      <c r="B6" s="1" t="str">
        <f t="shared" si="0"/>
        <v>23/09/09</v>
      </c>
      <c r="C6">
        <v>4734.1000000000004</v>
      </c>
    </row>
    <row r="7" spans="1:3">
      <c r="A7" s="1">
        <v>40080</v>
      </c>
      <c r="B7" s="1" t="str">
        <f t="shared" si="0"/>
        <v>24/09/09</v>
      </c>
      <c r="C7">
        <v>4701.2</v>
      </c>
    </row>
    <row r="8" spans="1:3">
      <c r="A8" s="1">
        <v>40081</v>
      </c>
      <c r="B8" s="1" t="str">
        <f t="shared" si="0"/>
        <v>25/09/09</v>
      </c>
      <c r="C8">
        <v>4713.3</v>
      </c>
    </row>
    <row r="9" spans="1:3">
      <c r="A9" s="1">
        <v>40084</v>
      </c>
      <c r="B9" s="1" t="str">
        <f t="shared" si="0"/>
        <v>28/09/09</v>
      </c>
      <c r="C9">
        <v>4677.3999999999996</v>
      </c>
    </row>
    <row r="10" spans="1:3">
      <c r="A10" s="1">
        <v>40085</v>
      </c>
      <c r="B10" s="1" t="str">
        <f t="shared" si="0"/>
        <v>29/09/09</v>
      </c>
      <c r="C10">
        <v>4753.1000000000004</v>
      </c>
    </row>
    <row r="11" spans="1:3">
      <c r="A11" s="1">
        <v>40086</v>
      </c>
      <c r="B11" s="1" t="str">
        <f t="shared" si="0"/>
        <v>30/09/09</v>
      </c>
      <c r="C11">
        <v>4743.6000000000004</v>
      </c>
    </row>
    <row r="12" spans="1:3">
      <c r="A12" s="1">
        <v>40087</v>
      </c>
      <c r="B12" s="1" t="str">
        <f t="shared" si="0"/>
        <v>1/10/09</v>
      </c>
      <c r="C12">
        <v>4701.1000000000004</v>
      </c>
    </row>
    <row r="13" spans="1:3">
      <c r="A13" s="1">
        <v>40088</v>
      </c>
      <c r="B13" s="1" t="str">
        <f t="shared" si="0"/>
        <v>2/10/09</v>
      </c>
      <c r="C13">
        <v>4601.7</v>
      </c>
    </row>
    <row r="14" spans="1:3">
      <c r="A14" s="1">
        <v>40091</v>
      </c>
      <c r="B14" s="1" t="str">
        <f t="shared" si="0"/>
        <v>5/10/09</v>
      </c>
      <c r="C14">
        <v>4573.3</v>
      </c>
    </row>
    <row r="15" spans="1:3">
      <c r="A15" s="1">
        <v>40092</v>
      </c>
      <c r="B15" s="1" t="str">
        <f t="shared" si="0"/>
        <v>6/10/09</v>
      </c>
      <c r="C15">
        <v>4591.6000000000004</v>
      </c>
    </row>
    <row r="16" spans="1:3">
      <c r="A16" s="1">
        <v>40093</v>
      </c>
      <c r="B16" s="1" t="str">
        <f t="shared" si="0"/>
        <v>7/10/09</v>
      </c>
      <c r="C16">
        <v>4695.7</v>
      </c>
    </row>
    <row r="17" spans="1:3">
      <c r="A17" s="1">
        <v>40094</v>
      </c>
      <c r="B17" s="1" t="str">
        <f t="shared" si="0"/>
        <v>8/10/09</v>
      </c>
      <c r="C17">
        <v>4768.6000000000004</v>
      </c>
    </row>
    <row r="18" spans="1:3">
      <c r="A18" s="1">
        <v>40095</v>
      </c>
      <c r="B18" s="1" t="str">
        <f t="shared" si="0"/>
        <v>9/10/09</v>
      </c>
      <c r="C18">
        <v>4752.8999999999996</v>
      </c>
    </row>
    <row r="19" spans="1:3">
      <c r="A19" s="1">
        <v>40098</v>
      </c>
      <c r="B19" s="1" t="str">
        <f t="shared" si="0"/>
        <v>12/10/09</v>
      </c>
      <c r="C19">
        <v>4739.8</v>
      </c>
    </row>
    <row r="20" spans="1:3">
      <c r="A20" s="1">
        <v>40099</v>
      </c>
      <c r="B20" s="1" t="str">
        <f t="shared" si="0"/>
        <v>13/10/09</v>
      </c>
      <c r="C20">
        <v>4785.7</v>
      </c>
    </row>
    <row r="21" spans="1:3">
      <c r="A21" s="1">
        <v>40100</v>
      </c>
      <c r="B21" s="1" t="str">
        <f t="shared" si="0"/>
        <v>14/10/09</v>
      </c>
      <c r="C21">
        <v>4831.1000000000004</v>
      </c>
    </row>
    <row r="22" spans="1:3">
      <c r="A22" s="1">
        <v>40101</v>
      </c>
      <c r="B22" s="1" t="str">
        <f t="shared" si="0"/>
        <v>15/10/09</v>
      </c>
      <c r="C22">
        <v>4859.8999999999996</v>
      </c>
    </row>
    <row r="23" spans="1:3">
      <c r="A23" s="1">
        <v>40102</v>
      </c>
      <c r="B23" s="1" t="str">
        <f t="shared" si="0"/>
        <v>16/10/09</v>
      </c>
      <c r="C23">
        <v>4836.3999999999996</v>
      </c>
    </row>
    <row r="24" spans="1:3">
      <c r="A24" s="1">
        <v>40105</v>
      </c>
      <c r="B24" s="1" t="str">
        <f t="shared" si="0"/>
        <v>19/10/09</v>
      </c>
      <c r="C24">
        <v>4792.8</v>
      </c>
    </row>
    <row r="25" spans="1:3">
      <c r="A25" s="1">
        <v>40106</v>
      </c>
      <c r="B25" s="1" t="str">
        <f t="shared" si="0"/>
        <v>20/10/09</v>
      </c>
      <c r="C25">
        <v>4846.2</v>
      </c>
    </row>
    <row r="26" spans="1:3">
      <c r="A26" s="1">
        <v>40107</v>
      </c>
      <c r="B26" s="1" t="str">
        <f t="shared" si="0"/>
        <v>21/10/09</v>
      </c>
      <c r="C26">
        <v>4838.6000000000004</v>
      </c>
    </row>
    <row r="27" spans="1:3">
      <c r="A27" s="1">
        <v>40108</v>
      </c>
      <c r="B27" s="1" t="str">
        <f t="shared" si="0"/>
        <v>22/10/09</v>
      </c>
      <c r="C27">
        <v>4812.8</v>
      </c>
    </row>
    <row r="28" spans="1:3">
      <c r="A28" s="1">
        <v>40109</v>
      </c>
      <c r="B28" s="1" t="str">
        <f t="shared" si="0"/>
        <v>23/10/09</v>
      </c>
      <c r="C28">
        <v>4859.3999999999996</v>
      </c>
    </row>
    <row r="29" spans="1:3">
      <c r="A29" s="1">
        <v>40112</v>
      </c>
      <c r="B29" s="1" t="str">
        <f t="shared" si="0"/>
        <v>26/10/09</v>
      </c>
      <c r="C29">
        <v>4830.3</v>
      </c>
    </row>
    <row r="30" spans="1:3">
      <c r="A30" s="1">
        <v>40113</v>
      </c>
      <c r="B30" s="1" t="str">
        <f t="shared" si="0"/>
        <v>27/10/09</v>
      </c>
      <c r="C30">
        <v>4753.5</v>
      </c>
    </row>
    <row r="31" spans="1:3">
      <c r="A31" s="1">
        <v>40114</v>
      </c>
      <c r="B31" s="1" t="str">
        <f t="shared" si="0"/>
        <v>28/10/09</v>
      </c>
      <c r="C31">
        <v>4685.1000000000004</v>
      </c>
    </row>
    <row r="32" spans="1:3">
      <c r="A32" s="1">
        <v>40115</v>
      </c>
      <c r="B32" s="1" t="str">
        <f t="shared" si="0"/>
        <v>29/10/09</v>
      </c>
      <c r="C32">
        <v>4574.7</v>
      </c>
    </row>
    <row r="33" spans="1:3">
      <c r="A33" s="1">
        <v>40116</v>
      </c>
      <c r="B33" s="1" t="str">
        <f t="shared" si="0"/>
        <v>30/10/09</v>
      </c>
      <c r="C33">
        <v>4643.2</v>
      </c>
    </row>
    <row r="34" spans="1:3">
      <c r="A34" s="1">
        <v>40119</v>
      </c>
      <c r="B34" s="1" t="str">
        <f t="shared" si="0"/>
        <v>2/11/09</v>
      </c>
      <c r="C34">
        <v>4540.3999999999996</v>
      </c>
    </row>
    <row r="35" spans="1:3">
      <c r="A35" s="1">
        <v>40120</v>
      </c>
      <c r="B35" s="1" t="str">
        <f t="shared" si="0"/>
        <v>3/11/09</v>
      </c>
      <c r="C35">
        <v>4531.5</v>
      </c>
    </row>
    <row r="36" spans="1:3">
      <c r="A36" s="1">
        <v>40121</v>
      </c>
      <c r="B36" s="1" t="str">
        <f t="shared" si="0"/>
        <v>4/11/09</v>
      </c>
      <c r="C36">
        <v>4540.1000000000004</v>
      </c>
    </row>
    <row r="37" spans="1:3">
      <c r="A37" s="1">
        <v>40122</v>
      </c>
      <c r="B37" s="1" t="str">
        <f t="shared" si="0"/>
        <v>5/11/09</v>
      </c>
      <c r="C37">
        <v>4508</v>
      </c>
    </row>
    <row r="38" spans="1:3">
      <c r="A38" s="1">
        <v>40123</v>
      </c>
      <c r="B38" s="1" t="str">
        <f t="shared" si="0"/>
        <v>6/11/09</v>
      </c>
      <c r="C38">
        <v>4594</v>
      </c>
    </row>
    <row r="39" spans="1:3">
      <c r="A39" s="1">
        <v>40126</v>
      </c>
      <c r="B39" s="1" t="str">
        <f t="shared" si="0"/>
        <v>9/11/09</v>
      </c>
      <c r="C39">
        <v>4674.8999999999996</v>
      </c>
    </row>
    <row r="40" spans="1:3">
      <c r="A40" s="1">
        <v>40127</v>
      </c>
      <c r="B40" s="1" t="str">
        <f t="shared" si="0"/>
        <v>10/11/09</v>
      </c>
      <c r="C40">
        <v>4733.6000000000004</v>
      </c>
    </row>
  </sheetData>
  <sheetProtection algorithmName="SHA-512" hashValue="h27DApyzyecSe4s2K0+fI9rKSWsbQVV4yBtpsJarVKPTuTuAXcFDxgEeGsfJ1pLTAaoNKNNbznCUg018E81Zgw==" saltValue="U08nEbhlESoY/BXH/TMBMA==" spinCount="100000" sheet="1" objects="1" scenarios="1"/>
  <phoneticPr fontId="2" type="noConversion"/>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7">
    <pageSetUpPr fitToPage="1"/>
  </sheetPr>
  <dimension ref="C1:O20"/>
  <sheetViews>
    <sheetView showGridLines="0" showRowColHeaders="0" workbookViewId="0"/>
  </sheetViews>
  <sheetFormatPr defaultColWidth="0" defaultRowHeight="12.5" zeroHeight="1"/>
  <cols>
    <col min="1" max="2" width="1" customWidth="1"/>
    <col min="3" max="15" width="8.7265625" customWidth="1"/>
    <col min="16" max="16" width="1.81640625" customWidth="1"/>
  </cols>
  <sheetData>
    <row r="1" spans="3:15"/>
    <row r="2" spans="3:15">
      <c r="C2" s="105"/>
      <c r="D2" s="105"/>
      <c r="E2" s="105"/>
      <c r="F2" s="105"/>
      <c r="G2" s="105"/>
      <c r="H2" s="105"/>
      <c r="I2" s="105"/>
      <c r="J2" s="105"/>
      <c r="K2" s="105"/>
      <c r="L2" s="105"/>
      <c r="M2" s="105"/>
      <c r="N2" s="105"/>
      <c r="O2" s="105"/>
    </row>
    <row r="3" spans="3:15" ht="16" thickBot="1">
      <c r="C3" s="96" t="s">
        <v>1172</v>
      </c>
    </row>
    <row r="4" spans="3:15" ht="13" thickTop="1">
      <c r="M4" s="1506" t="str">
        <f ca="1">OFFSET(ad_first,OFFSET(ads_top,ROW(ads_Ex_Status)-1,1),0)</f>
        <v>Participants on our courses have the opportunity to do on-line pre and post-course self-evaluations.</v>
      </c>
      <c r="N4" s="1507"/>
      <c r="O4" s="1508"/>
    </row>
    <row r="5" spans="3:15">
      <c r="C5" t="s">
        <v>1173</v>
      </c>
      <c r="M5" s="1509"/>
      <c r="N5" s="1510"/>
      <c r="O5" s="1511"/>
    </row>
    <row r="6" spans="3:15">
      <c r="L6" s="1135"/>
      <c r="M6" s="1509"/>
      <c r="N6" s="1510"/>
      <c r="O6" s="1511"/>
    </row>
    <row r="7" spans="3:15" ht="13">
      <c r="C7" s="1133" t="s">
        <v>753</v>
      </c>
      <c r="D7" s="1134"/>
      <c r="E7" s="1132"/>
      <c r="F7" s="1133" t="s">
        <v>1175</v>
      </c>
      <c r="G7" s="1134"/>
      <c r="H7" s="1809" t="s">
        <v>1174</v>
      </c>
      <c r="I7" s="1810"/>
      <c r="J7" s="1811"/>
      <c r="L7" s="1135" t="s">
        <v>426</v>
      </c>
      <c r="M7" s="1509"/>
      <c r="N7" s="1510"/>
      <c r="O7" s="1511"/>
    </row>
    <row r="8" spans="3:15" ht="13" thickBot="1">
      <c r="C8" s="1805" t="str">
        <f>hh_IF_compound</f>
        <v>Compound IF functions</v>
      </c>
      <c r="D8" s="1806"/>
      <c r="E8" s="1807"/>
      <c r="F8" s="1808">
        <f>Ex_1!C31</f>
        <v>3</v>
      </c>
      <c r="G8" s="1542"/>
      <c r="H8" s="1812" t="str">
        <f>CHOOSE(L8,msg_attempted_incomplete,msg_not_attempted,msg_completed)</f>
        <v>Not attempted</v>
      </c>
      <c r="I8" s="1810"/>
      <c r="J8" s="1811"/>
      <c r="L8" s="1135">
        <f>Ex_1!D89</f>
        <v>2</v>
      </c>
      <c r="M8" s="1512"/>
      <c r="N8" s="1513"/>
      <c r="O8" s="1514"/>
    </row>
    <row r="9" spans="3:15" ht="13" thickTop="1">
      <c r="C9" s="1805" t="str">
        <f>hh_conditional_counting</f>
        <v>Conditional counting</v>
      </c>
      <c r="D9" s="1806"/>
      <c r="E9" s="1807"/>
      <c r="F9" s="1808">
        <f>Ex_3!C10</f>
        <v>5</v>
      </c>
      <c r="G9" s="1542"/>
      <c r="H9" s="1812" t="str">
        <f>CHOOSE(L9,msg_attempted_incomplete,msg_not_attempted,msg_completed)</f>
        <v>Not attempted</v>
      </c>
      <c r="I9" s="1810"/>
      <c r="J9" s="1811"/>
      <c r="L9" s="1135">
        <f>Ex_3!E36</f>
        <v>2</v>
      </c>
    </row>
    <row r="10" spans="3:15">
      <c r="C10" s="1823" t="str">
        <f>hh_ex_cashflows</f>
        <v>Tracking cashflows</v>
      </c>
      <c r="D10" s="1823"/>
      <c r="E10" s="1823"/>
      <c r="F10" s="1821">
        <f>Ex_Acc_Bal!C9</f>
        <v>2</v>
      </c>
      <c r="G10" s="1821"/>
      <c r="H10" s="1824" t="str">
        <f>CHOOSE(L10,msg_attempted_incomplete,msg_not_attempted,msg_completed)</f>
        <v>Not attempted</v>
      </c>
      <c r="I10" s="1824"/>
      <c r="J10" s="1824"/>
      <c r="L10" s="1135">
        <f>Ex_Acc_Bal!E107</f>
        <v>2</v>
      </c>
    </row>
    <row r="11" spans="3:15">
      <c r="C11" s="1816" t="str">
        <f>hh_ex_interpolating</f>
        <v>Interpolating</v>
      </c>
      <c r="D11" s="1817"/>
      <c r="E11" s="1818"/>
      <c r="F11" s="1819">
        <v>7</v>
      </c>
      <c r="G11" s="1820"/>
      <c r="H11" s="1813" t="str">
        <f ca="1">CHOOSE(L11,msg_attempted_incomplete,msg_not_attempted,msg_completed)</f>
        <v>Not attempted</v>
      </c>
      <c r="I11" s="1814"/>
      <c r="J11" s="1815"/>
      <c r="L11" s="1135">
        <f ca="1">Ex_2_calcs!E28</f>
        <v>2</v>
      </c>
    </row>
    <row r="12" spans="3:15">
      <c r="C12" s="1822" t="str">
        <f>hh_ex_complex_lookups</f>
        <v>Complex lookups</v>
      </c>
      <c r="D12" s="1823"/>
      <c r="E12" s="1823"/>
      <c r="F12" s="1821">
        <f>Ex_4!C15</f>
        <v>10</v>
      </c>
      <c r="G12" s="1821"/>
      <c r="H12" s="1718" t="str">
        <f>CHOOSE(L12,msg_attempted_incomplete,msg_not_attempted,msg_completed)</f>
        <v>Not attempted</v>
      </c>
      <c r="I12" s="1718"/>
      <c r="J12" s="1718"/>
      <c r="L12" s="1135">
        <f>Ex_4!D64</f>
        <v>2</v>
      </c>
    </row>
    <row r="13" spans="3:15"/>
    <row r="14" spans="3:15"/>
    <row r="15" spans="3:15">
      <c r="C15" t="s">
        <v>468</v>
      </c>
    </row>
    <row r="16" spans="3:15"/>
    <row r="17" spans="3:15">
      <c r="C17" s="1697" t="str">
        <f>back_to_index</f>
        <v>Back to contents</v>
      </c>
      <c r="D17" s="1697"/>
      <c r="G17" s="1674" t="str">
        <f>page_prefix &amp; page_Ex_Status&amp; page_suffix</f>
        <v>- Page 47 -</v>
      </c>
      <c r="H17" s="1674"/>
      <c r="I17" s="1674"/>
      <c r="J17" s="1703"/>
      <c r="K17" s="1703"/>
      <c r="M17" s="32"/>
      <c r="N17" s="1673" t="str">
        <f>back_to_top</f>
        <v>Back to top</v>
      </c>
      <c r="O17" s="1673"/>
    </row>
    <row r="18" spans="3:15">
      <c r="G18" s="1674" t="str">
        <f>copyright</f>
        <v>Copyright (c) 2009 Tykoh Group Pty Limited</v>
      </c>
      <c r="H18" s="1674"/>
      <c r="I18" s="1674"/>
      <c r="J18" s="1703"/>
      <c r="K18" s="1703"/>
    </row>
    <row r="19" spans="3:15">
      <c r="G19" s="1452" t="str">
        <f>home_address</f>
        <v>www.tykoh.com</v>
      </c>
      <c r="H19" s="1452"/>
      <c r="I19" s="1452"/>
      <c r="J19" s="1452"/>
      <c r="K19" s="1452"/>
    </row>
    <row r="20" spans="3:15"/>
  </sheetData>
  <sheetProtection algorithmName="SHA-512" hashValue="FRS+rPD05MvRQMRgRE6W0rQkIq42r/Wutz9hBrGERFvW0BCBHWmY3wojtbNN/vubs2PqwccNtbjfSQp/INzpRQ==" saltValue="UQuZ4atKDhCUnZEcBokrTg==" spinCount="100000" sheet="1" objects="1" scenarios="1"/>
  <mergeCells count="22">
    <mergeCell ref="G19:K19"/>
    <mergeCell ref="C17:D17"/>
    <mergeCell ref="G17:K17"/>
    <mergeCell ref="F10:G10"/>
    <mergeCell ref="H10:J10"/>
    <mergeCell ref="C10:E10"/>
    <mergeCell ref="N17:O17"/>
    <mergeCell ref="G18:K18"/>
    <mergeCell ref="H11:J11"/>
    <mergeCell ref="C11:E11"/>
    <mergeCell ref="F11:G11"/>
    <mergeCell ref="F12:G12"/>
    <mergeCell ref="C12:E12"/>
    <mergeCell ref="H12:J12"/>
    <mergeCell ref="C8:E8"/>
    <mergeCell ref="C9:E9"/>
    <mergeCell ref="F8:G8"/>
    <mergeCell ref="M4:O8"/>
    <mergeCell ref="H7:J7"/>
    <mergeCell ref="H8:J8"/>
    <mergeCell ref="H9:J9"/>
    <mergeCell ref="F9:G9"/>
  </mergeCells>
  <phoneticPr fontId="2" type="noConversion"/>
  <conditionalFormatting sqref="H8:J12">
    <cfRule type="expression" dxfId="5" priority="1" stopIfTrue="1">
      <formula>$L8=1</formula>
    </cfRule>
    <cfRule type="expression" dxfId="4" priority="2" stopIfTrue="1">
      <formula>$L8=2</formula>
    </cfRule>
    <cfRule type="expression" dxfId="3" priority="3" stopIfTrue="1">
      <formula>$L8=3</formula>
    </cfRule>
  </conditionalFormatting>
  <hyperlinks>
    <hyperlink ref="C8:E8" location="hh_Ex_1" display="Compound IF functions" xr:uid="{00000000-0004-0000-3B00-000000000000}"/>
    <hyperlink ref="C9:E9" location="hh_Ex_3" display="Counting conditionally" xr:uid="{00000000-0004-0000-3B00-000001000000}"/>
    <hyperlink ref="C11:E11" location="hh_Ex_2" display="Interpolating" xr:uid="{00000000-0004-0000-3B00-000002000000}"/>
    <hyperlink ref="C12:E12" location="hh_Ex_4" display="Compound / complex lookups" xr:uid="{00000000-0004-0000-3B00-000003000000}"/>
    <hyperlink ref="C10:E10" location="hh_Ex_Acc_Bal" display="hh_Ex_Acc_Bal" xr:uid="{00000000-0004-0000-3B00-000004000000}"/>
    <hyperlink ref="N17:O17" location="hh_Ex_Status" display="hh_Ex_Status" xr:uid="{00000000-0004-0000-3B00-000005000000}"/>
    <hyperlink ref="C17:D17" location="hh_index" display="hh_index" xr:uid="{00000000-0004-0000-3B00-000006000000}"/>
    <hyperlink ref="G19:K19" r:id="rId1" display="https://www.tykoh.com/" xr:uid="{00000000-0004-0000-3B00-000007000000}"/>
  </hyperlinks>
  <pageMargins left="0.75" right="0.75" top="1" bottom="1" header="0.5" footer="0.5"/>
  <pageSetup paperSize="9" scale="71" orientation="portrait" r:id="rId2"/>
  <headerFooter alignWithMargins="0"/>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9"/>
  <dimension ref="A1:O29"/>
  <sheetViews>
    <sheetView workbookViewId="0">
      <selection activeCell="E30" sqref="E30"/>
    </sheetView>
  </sheetViews>
  <sheetFormatPr defaultRowHeight="12.5"/>
  <cols>
    <col min="1" max="2" width="1" customWidth="1"/>
  </cols>
  <sheetData>
    <row r="1" spans="1:15" ht="13">
      <c r="A1" s="111" t="s">
        <v>1209</v>
      </c>
    </row>
    <row r="2" spans="1:15">
      <c r="B2" s="5">
        <v>10</v>
      </c>
      <c r="C2" s="5">
        <f>Ex_2!F44</f>
        <v>100</v>
      </c>
      <c r="D2" s="5">
        <f>Ex_2!G44</f>
        <v>200</v>
      </c>
      <c r="E2" s="5">
        <f>Ex_2!H44</f>
        <v>400</v>
      </c>
      <c r="F2" s="5">
        <f>Ex_2!I44</f>
        <v>500</v>
      </c>
      <c r="G2" s="5">
        <v>600</v>
      </c>
    </row>
    <row r="3" spans="1:15">
      <c r="B3" s="8">
        <f>Ex_2!F45</f>
        <v>0.05</v>
      </c>
      <c r="C3" s="8">
        <f>Ex_2!F45</f>
        <v>0.05</v>
      </c>
      <c r="D3" s="8">
        <f>Ex_2!G45</f>
        <v>0.1</v>
      </c>
      <c r="E3" s="8">
        <f>Ex_2!H45</f>
        <v>0.3</v>
      </c>
      <c r="F3" s="8">
        <f>Ex_2!I45</f>
        <v>0.35</v>
      </c>
      <c r="G3" s="8">
        <f>Ex_2!I45</f>
        <v>0.35</v>
      </c>
    </row>
    <row r="5" spans="1:15">
      <c r="C5" s="20">
        <f>D5</f>
        <v>300</v>
      </c>
      <c r="D5">
        <v>300</v>
      </c>
      <c r="F5">
        <v>0</v>
      </c>
      <c r="G5" s="964">
        <f>D5-10</f>
        <v>290</v>
      </c>
      <c r="J5" t="s">
        <v>1485</v>
      </c>
      <c r="K5">
        <f>E2</f>
        <v>400</v>
      </c>
      <c r="L5">
        <v>0</v>
      </c>
      <c r="N5">
        <f>D2</f>
        <v>200</v>
      </c>
      <c r="O5">
        <f>L5</f>
        <v>0</v>
      </c>
    </row>
    <row r="6" spans="1:15">
      <c r="B6" s="965">
        <f>(D5-D2)/(E2-D2)*(E3-D3)+D3</f>
        <v>0.2</v>
      </c>
      <c r="C6" s="20">
        <v>0</v>
      </c>
      <c r="D6" s="966">
        <f>B6-1%</f>
        <v>0.19</v>
      </c>
      <c r="F6" s="967">
        <f>B6</f>
        <v>0.2</v>
      </c>
      <c r="G6" s="967">
        <f>F6</f>
        <v>0.2</v>
      </c>
      <c r="J6" t="s">
        <v>1486</v>
      </c>
      <c r="K6" s="8">
        <f>E3</f>
        <v>0.3</v>
      </c>
      <c r="L6" s="8">
        <f>K6</f>
        <v>0.3</v>
      </c>
      <c r="N6" s="8">
        <f>D3</f>
        <v>0.1</v>
      </c>
      <c r="O6" s="8">
        <f>N6</f>
        <v>0.1</v>
      </c>
    </row>
    <row r="8" spans="1:15">
      <c r="A8" s="20"/>
      <c r="C8" t="s">
        <v>1516</v>
      </c>
      <c r="D8" t="e">
        <f>MATCH(Ex_2!F49,Ex_2!$F$44:$I$44,1)</f>
        <v>#N/A</v>
      </c>
      <c r="E8">
        <f>MATCH(Ex_2!G49,Ex_2!$F$44:$I$44,1)</f>
        <v>1</v>
      </c>
      <c r="F8">
        <f>MATCH(Ex_2!H49,Ex_2!$F$44:$I$44,1)</f>
        <v>2</v>
      </c>
      <c r="G8">
        <f>MATCH(Ex_2!I49,Ex_2!$F$44:$I$44,1)</f>
        <v>3</v>
      </c>
      <c r="H8">
        <f>MATCH(Ex_2!J49,Ex_2!$F$44:$I$44,1)</f>
        <v>4</v>
      </c>
      <c r="J8" t="s">
        <v>1485</v>
      </c>
      <c r="K8">
        <f>K5</f>
        <v>400</v>
      </c>
      <c r="L8">
        <f>K8</f>
        <v>400</v>
      </c>
      <c r="N8">
        <f>N5</f>
        <v>200</v>
      </c>
      <c r="O8">
        <f>N8</f>
        <v>200</v>
      </c>
    </row>
    <row r="9" spans="1:15">
      <c r="A9" s="20"/>
      <c r="C9" t="s">
        <v>1210</v>
      </c>
      <c r="D9" t="e">
        <f>D8+1</f>
        <v>#N/A</v>
      </c>
      <c r="E9">
        <f>E8+1</f>
        <v>2</v>
      </c>
      <c r="F9">
        <f>F8+1</f>
        <v>3</v>
      </c>
      <c r="G9">
        <f>G8+1</f>
        <v>4</v>
      </c>
      <c r="H9">
        <f>H8+1</f>
        <v>5</v>
      </c>
      <c r="J9" t="s">
        <v>1486</v>
      </c>
      <c r="K9">
        <v>0</v>
      </c>
      <c r="L9" s="8">
        <f>L6</f>
        <v>0.3</v>
      </c>
      <c r="N9">
        <v>0</v>
      </c>
      <c r="O9" s="8">
        <f>O6</f>
        <v>0.1</v>
      </c>
    </row>
    <row r="10" spans="1:15">
      <c r="A10" s="20"/>
      <c r="C10" t="s">
        <v>1211</v>
      </c>
      <c r="D10" t="e">
        <f ca="1">OFFSET(Ex_2!$E$44,0,D8)</f>
        <v>#N/A</v>
      </c>
      <c r="E10">
        <f ca="1">OFFSET(Ex_2!$E$44,0,E8)</f>
        <v>100</v>
      </c>
      <c r="F10">
        <f ca="1">OFFSET(Ex_2!$E$44,0,F8)</f>
        <v>200</v>
      </c>
      <c r="G10">
        <f ca="1">OFFSET(Ex_2!$E$44,0,G8)</f>
        <v>400</v>
      </c>
      <c r="H10">
        <f ca="1">OFFSET(Ex_2!$E$44,0,H8)</f>
        <v>500</v>
      </c>
    </row>
    <row r="11" spans="1:15">
      <c r="A11" s="20"/>
      <c r="C11" t="s">
        <v>1212</v>
      </c>
      <c r="D11" t="e">
        <f ca="1">OFFSET(Ex_2!$E$44,0,D9)</f>
        <v>#N/A</v>
      </c>
      <c r="E11">
        <f ca="1">OFFSET(Ex_2!$E$44,0,E9)</f>
        <v>200</v>
      </c>
      <c r="F11">
        <f ca="1">OFFSET(Ex_2!$E$44,0,F9)</f>
        <v>400</v>
      </c>
      <c r="G11">
        <f ca="1">OFFSET(Ex_2!$E$44,0,G9)</f>
        <v>500</v>
      </c>
      <c r="H11">
        <f ca="1">OFFSET(Ex_2!$E$44,0,H9)</f>
        <v>0</v>
      </c>
    </row>
    <row r="12" spans="1:15">
      <c r="A12" s="20"/>
      <c r="C12" t="s">
        <v>1213</v>
      </c>
      <c r="D12" s="968" t="e">
        <f ca="1">OFFSET(Ex_2!$E$45,0,D8)</f>
        <v>#N/A</v>
      </c>
      <c r="E12" s="968">
        <f ca="1">OFFSET(Ex_2!$E$45,0,E8)</f>
        <v>0.05</v>
      </c>
      <c r="F12" s="968">
        <f ca="1">OFFSET(Ex_2!$E$45,0,F8)</f>
        <v>0.1</v>
      </c>
      <c r="G12" s="968">
        <f ca="1">OFFSET(Ex_2!$E$45,0,G8)</f>
        <v>0.3</v>
      </c>
      <c r="H12" s="968">
        <f ca="1">OFFSET(Ex_2!$E$45,0,H8)</f>
        <v>0.35</v>
      </c>
      <c r="K12" s="964"/>
      <c r="L12" t="s">
        <v>1214</v>
      </c>
    </row>
    <row r="13" spans="1:15">
      <c r="A13" s="20"/>
      <c r="C13" t="s">
        <v>1215</v>
      </c>
      <c r="D13" s="968" t="e">
        <f ca="1">OFFSET(Ex_2!$E$45,0,D9)</f>
        <v>#N/A</v>
      </c>
      <c r="E13" s="968">
        <f ca="1">OFFSET(Ex_2!$E$45,0,E9)</f>
        <v>0.1</v>
      </c>
      <c r="F13" s="968">
        <f ca="1">OFFSET(Ex_2!$E$45,0,F9)</f>
        <v>0.3</v>
      </c>
      <c r="G13" s="968">
        <f ca="1">OFFSET(Ex_2!$E$45,0,G9)</f>
        <v>0.35</v>
      </c>
      <c r="H13" s="968">
        <f ca="1">OFFSET(Ex_2!$E$45,0,H9)</f>
        <v>0</v>
      </c>
    </row>
    <row r="14" spans="1:15">
      <c r="A14" s="20"/>
      <c r="C14" t="s">
        <v>1216</v>
      </c>
      <c r="D14" s="967">
        <f>IF(Ex_2!F49&lt;Ex_2!$F$44,Ex_2!$F$45,IF(Ex_2!F49&gt;Ex_2!$I$44,Ex_2!$I$45,(Ex_2!F49-D10)/(D11-D10)*(D13-D12)+D12))</f>
        <v>0.05</v>
      </c>
      <c r="E14" s="967">
        <f ca="1">IF(Ex_2!G49&lt;Ex_2!$F$44,Ex_2!$F$45,IF(Ex_2!G49&gt;Ex_2!$I$44,Ex_2!$I$45,(Ex_2!G49-E10)/(E11-E10)*(E13-E12)+E12))</f>
        <v>6.25E-2</v>
      </c>
      <c r="F14" s="967">
        <f ca="1">IF(Ex_2!H49&lt;Ex_2!$F$44,Ex_2!$F$45,IF(Ex_2!H49&gt;Ex_2!$I$44,Ex_2!$I$45,(Ex_2!H49-F10)/(F11-F10)*(F13-F12)+F12))</f>
        <v>0.11</v>
      </c>
      <c r="G14" s="967">
        <f ca="1">IF(Ex_2!I49&lt;Ex_2!$F$44,Ex_2!$F$45,IF(Ex_2!I49&gt;Ex_2!$I$44,Ex_2!$I$45,(Ex_2!I49-G10)/(G11-G10)*(G13-G12)+G12))</f>
        <v>0.32499999999999996</v>
      </c>
      <c r="H14" s="967">
        <f>IF(Ex_2!J49&lt;Ex_2!$F$44,Ex_2!$F$45,IF(Ex_2!J49&gt;Ex_2!$I$44,Ex_2!$I$45,(Ex_2!J49-H10)/(H11-H10)*(H13-H12)+H12))</f>
        <v>0.35</v>
      </c>
    </row>
    <row r="15" spans="1:15">
      <c r="A15" s="20"/>
      <c r="D15" t="str">
        <f>IF(LEN(Ex_2!F50)&gt;0,IF(Ex_2!F50&lt;&gt;D14,"When profit is " &amp; Ex_2!F49 &amp; " revenue share should be " &amp; TEXT(D14,"0.00%") &amp; " but your answer is " &amp; TEXT(Ex_2!F50,"0.00%")&amp;".",""),"")</f>
        <v/>
      </c>
      <c r="E15" t="str">
        <f>IF(LEN(Ex_2!G50)&gt;0,IF(Ex_2!G50&lt;&gt;E14,"When profit is " &amp; Ex_2!G49 &amp; " revenue share should be " &amp; TEXT(E14,"0.00%") &amp; " but your answer is " &amp; TEXT(Ex_2!G50,"0.00%")&amp;".",""),"")</f>
        <v/>
      </c>
      <c r="F15" t="str">
        <f>IF(LEN(Ex_2!H50)&gt;0,IF(Ex_2!H50&lt;&gt;F14,"When profit is " &amp; Ex_2!H49 &amp; " revenue share should be " &amp; TEXT(F14,"0.00%") &amp; " but your answer is " &amp; TEXT(Ex_2!H50,"0.00%")&amp;".",""),"")</f>
        <v/>
      </c>
      <c r="G15" t="str">
        <f>IF(LEN(Ex_2!I50)&gt;0,IF(Ex_2!I50&lt;&gt;G14,"When profit is " &amp; Ex_2!I49 &amp; " revenue share should be " &amp; TEXT(G14,"0.00%") &amp; " but your answer is " &amp; TEXT(Ex_2!I50,"0.00%")&amp;".",""),"")</f>
        <v/>
      </c>
      <c r="H15" t="str">
        <f>IF(LEN(Ex_2!J50)&gt;0,IF(Ex_2!J50&lt;&gt;H14,"When profit is " &amp; Ex_2!J49 &amp; " revenue share should be " &amp; TEXT(H14,"0.00%") &amp; " but your answer is " &amp; TEXT(Ex_2!J50,"0.00%")&amp;".",""),"")</f>
        <v/>
      </c>
    </row>
    <row r="16" spans="1:15">
      <c r="A16" s="20"/>
      <c r="C16" t="s">
        <v>1217</v>
      </c>
      <c r="D16">
        <f>IF(AND(LEN(Ex_2!F50)&gt;0,D14&lt;&gt;Ex_2!F50),1,0)</f>
        <v>0</v>
      </c>
      <c r="E16">
        <f ca="1">IF(AND(LEN(Ex_2!G50)&gt;0,E14&lt;&gt;Ex_2!G50),1,0)</f>
        <v>0</v>
      </c>
      <c r="F16">
        <f ca="1">IF(AND(LEN(Ex_2!H50)&gt;0,F14&lt;&gt;Ex_2!H50),1,0)</f>
        <v>0</v>
      </c>
      <c r="G16">
        <f ca="1">IF(AND(LEN(Ex_2!I50)&gt;0,G14&lt;&gt;Ex_2!I50),1,0)</f>
        <v>0</v>
      </c>
      <c r="H16">
        <f>IF(AND(LEN(Ex_2!J50)&gt;0,H14&lt;&gt;Ex_2!J50),1,0)</f>
        <v>0</v>
      </c>
    </row>
    <row r="17" spans="1:8">
      <c r="A17" s="20"/>
      <c r="C17" t="s">
        <v>1218</v>
      </c>
      <c r="D17">
        <f>IF(Ex_2!F50=D14,1,0)</f>
        <v>0</v>
      </c>
      <c r="E17">
        <f ca="1">IF(Ex_2!G50=E14,1,0)</f>
        <v>0</v>
      </c>
      <c r="F17">
        <f ca="1">IF(Ex_2!H50=F14,1,0)</f>
        <v>0</v>
      </c>
      <c r="G17">
        <f ca="1">IF(Ex_2!I50=G14,1,0)</f>
        <v>0</v>
      </c>
      <c r="H17">
        <f>IF(Ex_2!J50=H14,1,0)</f>
        <v>0</v>
      </c>
    </row>
    <row r="18" spans="1:8">
      <c r="A18" s="20"/>
      <c r="C18" t="s">
        <v>1219</v>
      </c>
      <c r="D18">
        <f>SUM(C18,D16)</f>
        <v>0</v>
      </c>
      <c r="E18">
        <f ca="1">SUM(D18,E16)</f>
        <v>0</v>
      </c>
      <c r="F18">
        <f ca="1">SUM(E18,F16)</f>
        <v>0</v>
      </c>
      <c r="G18">
        <f ca="1">SUM(F18,G16)</f>
        <v>0</v>
      </c>
      <c r="H18">
        <f ca="1">SUM(G18,H16)</f>
        <v>0</v>
      </c>
    </row>
    <row r="19" spans="1:8">
      <c r="A19" s="20"/>
      <c r="C19" t="e">
        <f ca="1">MATCH(1,D18:H18,0)</f>
        <v>#N/A</v>
      </c>
    </row>
    <row r="20" spans="1:8">
      <c r="A20" s="20"/>
    </row>
    <row r="21" spans="1:8">
      <c r="A21" t="s">
        <v>1207</v>
      </c>
    </row>
    <row r="22" spans="1:8">
      <c r="A22" s="20"/>
    </row>
    <row r="23" spans="1:8">
      <c r="A23" s="20"/>
      <c r="B23" t="s">
        <v>1220</v>
      </c>
      <c r="E23" t="b">
        <f ca="1">MAX(D16:H16)&gt;0</f>
        <v>0</v>
      </c>
    </row>
    <row r="24" spans="1:8">
      <c r="A24" s="20"/>
      <c r="B24" t="s">
        <v>1221</v>
      </c>
      <c r="E24" t="b">
        <f ca="1">COUNTIF(D17:H17,0)=0</f>
        <v>0</v>
      </c>
    </row>
    <row r="25" spans="1:8">
      <c r="A25" s="20"/>
    </row>
    <row r="26" spans="1:8">
      <c r="A26" s="20"/>
      <c r="B26" t="s">
        <v>1208</v>
      </c>
      <c r="E26" t="e">
        <f ca="1">OFFSET(C15,0,C19)</f>
        <v>#N/A</v>
      </c>
    </row>
    <row r="27" spans="1:8">
      <c r="A27" s="20"/>
    </row>
    <row r="28" spans="1:8">
      <c r="A28" s="20"/>
      <c r="B28" t="s">
        <v>1222</v>
      </c>
      <c r="E28">
        <f ca="1">IF(E23,1,IF(E24,3,2))</f>
        <v>2</v>
      </c>
    </row>
    <row r="29" spans="1:8">
      <c r="A29" s="20"/>
      <c r="B29" t="s">
        <v>1223</v>
      </c>
      <c r="E29" t="str">
        <f ca="1">CHOOSE(E28,E26,answer_complete,answer_correct)</f>
        <v>Please complete the answer.</v>
      </c>
    </row>
  </sheetData>
  <sheetProtection algorithmName="SHA-512" hashValue="IyAr8oAK/595fC+9rS0hLzATHw2kx7BrObXHrNTNvejJRMZ8lhHa49p3mjrW3fanz/uHRX+O+x2+ELwzrrhlgw==" saltValue="7SK6isny7sEqDTmjILxnUg==" spinCount="100000" sheet="1" objects="1" scenarios="1"/>
  <phoneticPr fontId="2" type="noConversion"/>
  <pageMargins left="0.75" right="0.75" top="1" bottom="1" header="0.5" footer="0.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5">
    <pageSetUpPr fitToPage="1"/>
  </sheetPr>
  <dimension ref="C1:P48"/>
  <sheetViews>
    <sheetView showGridLines="0" showRowColHeaders="0" workbookViewId="0">
      <selection activeCell="C17" sqref="C17:M17"/>
    </sheetView>
  </sheetViews>
  <sheetFormatPr defaultColWidth="0" defaultRowHeight="12.5" zeroHeight="1"/>
  <cols>
    <col min="1" max="2" width="1" customWidth="1"/>
    <col min="3" max="4" width="1.453125" customWidth="1"/>
    <col min="5" max="16" width="8.7265625" customWidth="1"/>
    <col min="17" max="17" width="1.81640625" customWidth="1"/>
  </cols>
  <sheetData>
    <row r="1" spans="3:16"/>
    <row r="2" spans="3:16"/>
    <row r="3" spans="3:16" ht="18" thickBot="1">
      <c r="C3" s="1737" t="s">
        <v>1648</v>
      </c>
      <c r="D3" s="1737"/>
      <c r="E3" s="1737"/>
      <c r="F3" s="1737"/>
      <c r="G3" s="1737"/>
      <c r="H3" s="1737"/>
      <c r="I3" s="1737"/>
      <c r="J3" s="1737"/>
      <c r="K3" s="1737"/>
      <c r="L3" s="1737"/>
      <c r="M3" s="1737"/>
      <c r="N3" s="1737"/>
      <c r="O3" s="1737"/>
      <c r="P3" s="1737"/>
    </row>
    <row r="4" spans="3:16" ht="13" thickTop="1">
      <c r="N4" s="1521" t="str">
        <f ca="1">OFFSET(ad_first,OFFSET(ads_top,ROW(ads_Next)-1,1),0)</f>
        <v>Our modelling and spreadsheet skills courses can be done in one or two day modules.</v>
      </c>
      <c r="O4" s="1507"/>
      <c r="P4" s="1508"/>
    </row>
    <row r="5" spans="3:16">
      <c r="C5" s="1518" t="s">
        <v>524</v>
      </c>
      <c r="D5" s="1518"/>
      <c r="E5" s="1518"/>
      <c r="F5" s="1518"/>
      <c r="G5" s="1518"/>
      <c r="H5" s="1518"/>
      <c r="I5" s="1518"/>
      <c r="J5" s="1518"/>
      <c r="K5" s="1518"/>
      <c r="L5" s="1518"/>
      <c r="M5" s="1518"/>
      <c r="N5" s="1509"/>
      <c r="O5" s="1510"/>
      <c r="P5" s="1511"/>
    </row>
    <row r="6" spans="3:16">
      <c r="C6" s="619"/>
      <c r="D6" s="619"/>
      <c r="E6" s="619"/>
      <c r="F6" s="619"/>
      <c r="G6" s="619"/>
      <c r="H6" s="619"/>
      <c r="I6" s="619"/>
      <c r="J6" s="619"/>
      <c r="K6" s="619"/>
      <c r="L6" s="619"/>
      <c r="M6" s="619"/>
      <c r="N6" s="1509"/>
      <c r="O6" s="1510"/>
      <c r="P6" s="1511"/>
    </row>
    <row r="7" spans="3:16">
      <c r="C7" s="2" t="s">
        <v>361</v>
      </c>
      <c r="D7" t="s">
        <v>523</v>
      </c>
      <c r="N7" s="1509"/>
      <c r="O7" s="1510"/>
      <c r="P7" s="1511"/>
    </row>
    <row r="8" spans="3:16" ht="13" thickBot="1">
      <c r="C8" s="2" t="s">
        <v>361</v>
      </c>
      <c r="D8" t="s">
        <v>1643</v>
      </c>
      <c r="N8" s="1512"/>
      <c r="O8" s="1513"/>
      <c r="P8" s="1514"/>
    </row>
    <row r="9" spans="3:16" ht="13" thickTop="1">
      <c r="C9" s="2" t="s">
        <v>361</v>
      </c>
      <c r="D9" s="1518" t="s">
        <v>1267</v>
      </c>
      <c r="E9" s="1518"/>
      <c r="F9" s="1518"/>
      <c r="G9" s="1518"/>
      <c r="H9" s="1518"/>
      <c r="I9" s="1518"/>
      <c r="J9" s="1518"/>
      <c r="K9" s="1518"/>
      <c r="L9" s="1518"/>
      <c r="M9" s="777"/>
      <c r="N9" s="777"/>
      <c r="O9" s="777"/>
      <c r="P9" s="777"/>
    </row>
    <row r="10" spans="3:16">
      <c r="C10" s="2"/>
      <c r="D10" s="1518"/>
      <c r="E10" s="1518"/>
      <c r="F10" s="1518"/>
      <c r="G10" s="1518"/>
      <c r="H10" s="1518"/>
      <c r="I10" s="1518"/>
      <c r="J10" s="1518"/>
      <c r="K10" s="1518"/>
      <c r="L10" s="1518"/>
      <c r="M10" s="777"/>
      <c r="N10" s="777"/>
      <c r="O10" s="777"/>
      <c r="P10" s="777"/>
    </row>
    <row r="11" spans="3:16">
      <c r="C11" s="2" t="s">
        <v>361</v>
      </c>
      <c r="D11" t="s">
        <v>525</v>
      </c>
    </row>
    <row r="12" spans="3:16"/>
    <row r="13" spans="3:16">
      <c r="C13" t="s">
        <v>526</v>
      </c>
    </row>
    <row r="14" spans="3:16"/>
    <row r="15" spans="3:16">
      <c r="C15" s="1468" t="s">
        <v>527</v>
      </c>
      <c r="D15" s="1468"/>
      <c r="E15" s="1468"/>
      <c r="F15" s="1468"/>
      <c r="G15" s="1468"/>
      <c r="H15" s="1468"/>
      <c r="I15" s="1468"/>
      <c r="J15" s="1468"/>
      <c r="K15" s="1468"/>
    </row>
    <row r="16" spans="3:16"/>
    <row r="17" spans="3:16">
      <c r="C17" s="1468" t="s">
        <v>528</v>
      </c>
      <c r="D17" s="1468"/>
      <c r="E17" s="1468"/>
      <c r="F17" s="1468"/>
      <c r="G17" s="1468"/>
      <c r="H17" s="1468"/>
      <c r="I17" s="1468"/>
      <c r="J17" s="1468"/>
      <c r="K17" s="1468"/>
      <c r="L17" s="1468"/>
      <c r="M17" s="1468"/>
    </row>
    <row r="18" spans="3:16"/>
    <row r="19" spans="3:16">
      <c r="C19" s="1468" t="s">
        <v>154</v>
      </c>
      <c r="D19" s="1468"/>
      <c r="E19" s="1468"/>
      <c r="F19" s="1468"/>
      <c r="G19" s="1468"/>
      <c r="H19" s="1468"/>
      <c r="I19" s="1468"/>
      <c r="J19" s="1468"/>
    </row>
    <row r="20" spans="3:16"/>
    <row r="21" spans="3:16" ht="12.75" customHeight="1">
      <c r="C21" s="1697" t="str">
        <f>back_to_index</f>
        <v>Back to contents</v>
      </c>
      <c r="D21" s="1697"/>
      <c r="E21" s="1697"/>
      <c r="F21" s="1697"/>
      <c r="G21" s="1674" t="str">
        <f>page_prefix &amp; page_Next&amp; page_suffix</f>
        <v>- Page 48 -</v>
      </c>
      <c r="H21" s="1674"/>
      <c r="I21" s="1674"/>
      <c r="J21" s="1703"/>
      <c r="K21" s="1703"/>
      <c r="L21" s="1703"/>
      <c r="O21" s="1673" t="s">
        <v>1506</v>
      </c>
      <c r="P21" s="1673"/>
    </row>
    <row r="22" spans="3:16">
      <c r="G22" s="1674" t="str">
        <f>copyright</f>
        <v>Copyright (c) 2009 Tykoh Group Pty Limited</v>
      </c>
      <c r="H22" s="1674"/>
      <c r="I22" s="1674"/>
      <c r="J22" s="1703"/>
      <c r="K22" s="1703"/>
      <c r="L22" s="1703"/>
    </row>
    <row r="23" spans="3:16">
      <c r="G23" s="1452" t="str">
        <f>home_address</f>
        <v>www.tykoh.com</v>
      </c>
      <c r="H23" s="1452"/>
      <c r="I23" s="1452"/>
      <c r="J23" s="1452"/>
      <c r="K23" s="1452"/>
      <c r="L23" s="1452"/>
    </row>
    <row r="24" spans="3:16"/>
    <row r="47"/>
    <row r="48"/>
  </sheetData>
  <sheetProtection algorithmName="SHA-512" hashValue="NYNXRdadVTr/Ektx5Fm33bzKwFtbVaEJ8QMbtiGYrn8qLvyVtDqsSj7GvmXahAxVWYvibo/qeI7hnvTJDCoIyA==" saltValue="jcj2GgAVD1Eyk07c8uljUw==" spinCount="100000" sheet="1" objects="1" scenarios="1"/>
  <mergeCells count="12">
    <mergeCell ref="O21:P21"/>
    <mergeCell ref="C21:F21"/>
    <mergeCell ref="G23:L23"/>
    <mergeCell ref="C17:M17"/>
    <mergeCell ref="C19:J19"/>
    <mergeCell ref="G21:L21"/>
    <mergeCell ref="G22:L22"/>
    <mergeCell ref="C3:P3"/>
    <mergeCell ref="C5:M5"/>
    <mergeCell ref="C15:K15"/>
    <mergeCell ref="N4:P8"/>
    <mergeCell ref="D9:L10"/>
  </mergeCells>
  <phoneticPr fontId="2" type="noConversion"/>
  <hyperlinks>
    <hyperlink ref="O21:P21" location="hh_index" display="hh_index" xr:uid="{00000000-0004-0000-3D00-000000000000}"/>
    <hyperlink ref="C19:J19" r:id="rId1" display="Submit suggestions for improving or feedback about this guide." xr:uid="{00000000-0004-0000-3D00-000001000000}"/>
    <hyperlink ref="C21:F21" location="hh_index" display="hh_index" xr:uid="{00000000-0004-0000-3D00-000002000000}"/>
    <hyperlink ref="G23:L23" r:id="rId2" display="https://www.tykoh.com/" xr:uid="{00000000-0004-0000-3D00-000003000000}"/>
    <hyperlink ref="C15:K15" r:id="rId3" display="Do a free on-line self-evaluation of the skills covered in this guide." xr:uid="{00000000-0004-0000-3D00-000004000000}"/>
    <hyperlink ref="C17:M17" r:id="rId4" display="Look at workshops we offer that cover in more depth the concepts touched on in this guide." xr:uid="{00000000-0004-0000-3D00-000005000000}"/>
  </hyperlinks>
  <pageMargins left="0.75" right="0.75" top="1" bottom="1" header="0.5" footer="0.5"/>
  <pageSetup paperSize="9" scale="72" orientation="portrait" r:id="rId5"/>
  <headerFooter alignWithMargins="0"/>
  <drawing r:id="rId6"/>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0">
    <pageSetUpPr fitToPage="1"/>
  </sheetPr>
  <dimension ref="C1:J138"/>
  <sheetViews>
    <sheetView showGridLines="0" showRowColHeaders="0" workbookViewId="0">
      <selection activeCell="H2" sqref="H2"/>
    </sheetView>
  </sheetViews>
  <sheetFormatPr defaultColWidth="0" defaultRowHeight="12.5" zeroHeight="1"/>
  <cols>
    <col min="1" max="2" width="1" customWidth="1"/>
    <col min="3" max="3" width="1.81640625" style="1045" customWidth="1"/>
    <col min="4" max="4" width="27.1796875" style="22" customWidth="1"/>
    <col min="5" max="5" width="3.7265625" style="29" customWidth="1"/>
    <col min="6" max="6" width="32.54296875" style="22" customWidth="1"/>
    <col min="7" max="7" width="3" style="22" customWidth="1"/>
    <col min="8" max="8" width="33.453125" style="22" customWidth="1"/>
    <col min="9" max="9" width="3.453125" style="22" customWidth="1"/>
    <col min="10" max="10" width="13.7265625" style="22" customWidth="1"/>
    <col min="11" max="11" width="1.81640625" customWidth="1"/>
  </cols>
  <sheetData>
    <row r="1" spans="3:10">
      <c r="D1"/>
      <c r="F1"/>
      <c r="G1"/>
      <c r="H1"/>
      <c r="I1"/>
      <c r="J1"/>
    </row>
    <row r="2" spans="3:10">
      <c r="C2" s="1046"/>
      <c r="D2" s="105"/>
      <c r="E2" s="1041"/>
      <c r="F2" s="105"/>
      <c r="G2" s="105"/>
      <c r="H2" s="105"/>
      <c r="I2" s="105"/>
      <c r="J2" s="105"/>
    </row>
    <row r="3" spans="3:10" ht="17.5">
      <c r="C3" s="1826" t="s">
        <v>767</v>
      </c>
      <c r="D3" s="1826"/>
      <c r="E3" s="1826"/>
      <c r="F3" s="1826"/>
      <c r="G3" s="1826"/>
      <c r="H3" s="1826"/>
      <c r="I3" s="1826"/>
      <c r="J3" s="1826"/>
    </row>
    <row r="4" spans="3:10" s="1040" customFormat="1" ht="12.75" customHeight="1">
      <c r="C4" s="1040" t="s">
        <v>1089</v>
      </c>
      <c r="E4" s="1042"/>
      <c r="G4" s="1045" t="s">
        <v>1551</v>
      </c>
      <c r="H4"/>
      <c r="I4" s="29"/>
      <c r="J4"/>
    </row>
    <row r="5" spans="3:10" s="1040" customFormat="1" ht="12.75" customHeight="1">
      <c r="D5" s="1032" t="s">
        <v>590</v>
      </c>
      <c r="E5" s="1043">
        <f>page_fn_ABS</f>
        <v>21</v>
      </c>
      <c r="G5" s="1045"/>
      <c r="H5" s="27" t="s">
        <v>590</v>
      </c>
      <c r="I5" s="1043">
        <f>page_fn_LARGE</f>
        <v>29</v>
      </c>
      <c r="J5"/>
    </row>
    <row r="6" spans="3:10" s="1040" customFormat="1" ht="12.75" customHeight="1">
      <c r="E6" s="1042"/>
      <c r="G6" s="1045"/>
      <c r="H6" s="27" t="s">
        <v>502</v>
      </c>
      <c r="I6" s="1043">
        <f>page_fn_LARGE</f>
        <v>29</v>
      </c>
      <c r="J6"/>
    </row>
    <row r="7" spans="3:10" s="812" customFormat="1" ht="12.75" customHeight="1">
      <c r="C7" s="1040" t="s">
        <v>1543</v>
      </c>
      <c r="D7" s="1039"/>
      <c r="E7" s="1042"/>
      <c r="F7" s="1039"/>
      <c r="G7" s="1045"/>
      <c r="H7"/>
      <c r="I7" s="29"/>
      <c r="J7"/>
    </row>
    <row r="8" spans="3:10" s="812" customFormat="1" ht="12.75" customHeight="1">
      <c r="C8" s="1040"/>
      <c r="D8" s="1032" t="s">
        <v>590</v>
      </c>
      <c r="E8" s="1043">
        <f>page_fn_AND</f>
        <v>22</v>
      </c>
      <c r="F8" s="1039"/>
      <c r="G8" s="1045" t="s">
        <v>1553</v>
      </c>
      <c r="H8"/>
      <c r="I8" s="29"/>
      <c r="J8"/>
    </row>
    <row r="9" spans="3:10" ht="12.75" customHeight="1">
      <c r="C9" s="1047"/>
      <c r="D9" s="1006"/>
      <c r="E9" s="1044"/>
      <c r="F9" s="1006"/>
      <c r="G9" s="1045"/>
      <c r="H9" s="27" t="s">
        <v>590</v>
      </c>
      <c r="I9" s="1043">
        <f>page_fn_LEFT</f>
        <v>30</v>
      </c>
      <c r="J9"/>
    </row>
    <row r="10" spans="3:10">
      <c r="C10" s="1045" t="s">
        <v>1359</v>
      </c>
      <c r="D10"/>
      <c r="F10"/>
      <c r="G10" s="1045"/>
      <c r="H10" s="27" t="s">
        <v>878</v>
      </c>
      <c r="I10" s="1043">
        <f>page_Combine_2</f>
        <v>39</v>
      </c>
      <c r="J10"/>
    </row>
    <row r="11" spans="3:10">
      <c r="D11" s="27" t="s">
        <v>624</v>
      </c>
      <c r="E11" s="1043">
        <f>page_Aggregating</f>
        <v>3</v>
      </c>
      <c r="F11"/>
      <c r="G11" s="1045"/>
      <c r="H11"/>
      <c r="I11" s="29"/>
      <c r="J11"/>
    </row>
    <row r="12" spans="3:10" ht="13.5" customHeight="1">
      <c r="D12"/>
      <c r="F12"/>
      <c r="G12" s="1045" t="s">
        <v>1542</v>
      </c>
      <c r="H12"/>
      <c r="I12" s="29"/>
      <c r="J12"/>
    </row>
    <row r="13" spans="3:10">
      <c r="C13" s="1045" t="s">
        <v>365</v>
      </c>
      <c r="D13"/>
      <c r="F13"/>
      <c r="G13" s="1045"/>
      <c r="H13" s="27" t="s">
        <v>590</v>
      </c>
      <c r="I13" s="1043">
        <f>page_fn_LEFT</f>
        <v>30</v>
      </c>
      <c r="J13"/>
    </row>
    <row r="14" spans="3:10">
      <c r="D14" s="27" t="s">
        <v>624</v>
      </c>
      <c r="E14" s="1043">
        <f>page_Scenario_Analysing</f>
        <v>14</v>
      </c>
      <c r="F14"/>
      <c r="G14" s="1045"/>
      <c r="H14"/>
      <c r="I14" s="29"/>
      <c r="J14"/>
    </row>
    <row r="15" spans="3:10">
      <c r="D15"/>
      <c r="F15"/>
      <c r="G15" s="1045" t="s">
        <v>71</v>
      </c>
      <c r="H15"/>
      <c r="I15" s="29"/>
      <c r="J15"/>
    </row>
    <row r="16" spans="3:10">
      <c r="C16" s="1045" t="s">
        <v>1546</v>
      </c>
      <c r="D16"/>
      <c r="F16"/>
      <c r="G16" s="1045"/>
      <c r="H16" s="27" t="s">
        <v>72</v>
      </c>
      <c r="I16" s="1043">
        <f>page_fn_AND</f>
        <v>22</v>
      </c>
      <c r="J16"/>
    </row>
    <row r="17" spans="3:10">
      <c r="D17" s="27" t="s">
        <v>590</v>
      </c>
      <c r="E17" s="1043">
        <f>page_fn_AVERAGE</f>
        <v>23</v>
      </c>
      <c r="F17"/>
      <c r="G17" s="1045"/>
      <c r="H17"/>
      <c r="I17" s="29"/>
      <c r="J17"/>
    </row>
    <row r="18" spans="3:10">
      <c r="D18" s="27" t="s">
        <v>864</v>
      </c>
      <c r="E18" s="1043">
        <f>page_fn_OFFSET</f>
        <v>34</v>
      </c>
      <c r="F18"/>
      <c r="G18" s="1045" t="s">
        <v>1439</v>
      </c>
      <c r="H18"/>
      <c r="I18" s="29"/>
      <c r="J18"/>
    </row>
    <row r="19" spans="3:10">
      <c r="D19"/>
      <c r="F19"/>
      <c r="G19" s="1045"/>
      <c r="H19" s="27" t="s">
        <v>624</v>
      </c>
      <c r="I19" s="1043">
        <f>page_Looking_Up</f>
        <v>10</v>
      </c>
      <c r="J19"/>
    </row>
    <row r="20" spans="3:10">
      <c r="C20" s="1045" t="s">
        <v>1384</v>
      </c>
      <c r="D20"/>
      <c r="F20"/>
      <c r="G20" s="1045"/>
      <c r="H20"/>
      <c r="I20" s="29"/>
      <c r="J20"/>
    </row>
    <row r="21" spans="3:10">
      <c r="D21" s="27" t="s">
        <v>624</v>
      </c>
      <c r="E21" s="1043">
        <f>page_Averaging</f>
        <v>4</v>
      </c>
      <c r="F21"/>
      <c r="G21" s="1045" t="s">
        <v>143</v>
      </c>
      <c r="H21"/>
      <c r="I21" s="29"/>
      <c r="J21"/>
    </row>
    <row r="22" spans="3:10">
      <c r="D22" s="27"/>
      <c r="E22" s="1043"/>
      <c r="F22"/>
      <c r="G22" s="1045"/>
      <c r="H22" s="27" t="s">
        <v>591</v>
      </c>
      <c r="I22" s="1043">
        <f>page_fn_LOOKUP</f>
        <v>31</v>
      </c>
      <c r="J22"/>
    </row>
    <row r="23" spans="3:10">
      <c r="C23" s="1045" t="s">
        <v>599</v>
      </c>
      <c r="D23" s="27"/>
      <c r="E23" s="1043"/>
      <c r="F23"/>
      <c r="G23" s="1045"/>
      <c r="H23"/>
      <c r="I23" s="29"/>
      <c r="J23"/>
    </row>
    <row r="24" spans="3:10">
      <c r="D24" s="27" t="s">
        <v>1193</v>
      </c>
      <c r="E24" s="1043">
        <f>page_Ex_Others</f>
        <v>46</v>
      </c>
      <c r="F24"/>
      <c r="G24" s="1045" t="s">
        <v>1549</v>
      </c>
      <c r="H24"/>
      <c r="I24" s="29"/>
      <c r="J24"/>
    </row>
    <row r="25" spans="3:10">
      <c r="D25"/>
      <c r="F25"/>
      <c r="G25" s="1045"/>
      <c r="H25" s="27" t="s">
        <v>590</v>
      </c>
      <c r="I25" s="1043">
        <f>page_fn_MATCH</f>
        <v>32</v>
      </c>
      <c r="J25"/>
    </row>
    <row r="26" spans="3:10">
      <c r="C26" s="1045" t="s">
        <v>1385</v>
      </c>
      <c r="D26"/>
      <c r="F26"/>
      <c r="G26" s="1045"/>
      <c r="H26"/>
      <c r="I26" s="29"/>
      <c r="J26"/>
    </row>
    <row r="27" spans="3:10">
      <c r="D27" s="27" t="s">
        <v>624</v>
      </c>
      <c r="E27" s="1043">
        <f>page_Charting</f>
        <v>5</v>
      </c>
      <c r="F27"/>
      <c r="G27" s="1045" t="s">
        <v>1540</v>
      </c>
      <c r="H27"/>
      <c r="I27" s="29"/>
      <c r="J27"/>
    </row>
    <row r="28" spans="3:10">
      <c r="D28"/>
      <c r="F28"/>
      <c r="G28" s="1045"/>
      <c r="H28" s="27" t="s">
        <v>590</v>
      </c>
      <c r="I28" s="1043">
        <f>page_fn_MAX</f>
        <v>33</v>
      </c>
      <c r="J28"/>
    </row>
    <row r="29" spans="3:10">
      <c r="C29" s="1045" t="s">
        <v>1563</v>
      </c>
      <c r="D29"/>
      <c r="F29"/>
      <c r="G29" s="1045"/>
      <c r="H29"/>
      <c r="I29" s="29"/>
      <c r="J29"/>
    </row>
    <row r="30" spans="3:10">
      <c r="D30" s="27" t="s">
        <v>591</v>
      </c>
      <c r="E30" s="1043">
        <f>page_fn_CHOOSE</f>
        <v>24</v>
      </c>
      <c r="F30"/>
      <c r="G30" s="1045" t="s">
        <v>1561</v>
      </c>
      <c r="H30"/>
      <c r="I30" s="29"/>
      <c r="J30"/>
    </row>
    <row r="31" spans="3:10">
      <c r="D31" s="27" t="s">
        <v>1042</v>
      </c>
      <c r="E31" s="1043">
        <f>page_fn_CHOOSE</f>
        <v>24</v>
      </c>
      <c r="F31"/>
      <c r="G31" s="1045"/>
      <c r="H31" s="27" t="s">
        <v>590</v>
      </c>
      <c r="I31" s="1043">
        <f>page_fn_LEFT</f>
        <v>30</v>
      </c>
      <c r="J31"/>
    </row>
    <row r="32" spans="3:10">
      <c r="D32" s="27"/>
      <c r="E32" s="1043"/>
      <c r="F32"/>
      <c r="G32" s="1045"/>
      <c r="H32"/>
      <c r="I32" s="29"/>
      <c r="J32"/>
    </row>
    <row r="33" spans="3:10">
      <c r="C33" s="1045" t="s">
        <v>1182</v>
      </c>
      <c r="D33" s="27"/>
      <c r="E33" s="1043"/>
      <c r="F33"/>
      <c r="G33" s="1045" t="s">
        <v>1541</v>
      </c>
      <c r="H33"/>
      <c r="I33" s="29"/>
      <c r="J33"/>
    </row>
    <row r="34" spans="3:10">
      <c r="D34" s="27" t="s">
        <v>1183</v>
      </c>
      <c r="E34" s="1043">
        <f>page_Ex_4</f>
        <v>46</v>
      </c>
      <c r="F34"/>
      <c r="G34" s="1045"/>
      <c r="H34" s="27" t="s">
        <v>590</v>
      </c>
      <c r="I34" s="1043">
        <f>page_fn_MAX</f>
        <v>33</v>
      </c>
      <c r="J34"/>
    </row>
    <row r="35" spans="3:10">
      <c r="D35" s="27"/>
      <c r="E35" s="1043"/>
      <c r="F35"/>
      <c r="G35" s="1045"/>
      <c r="H35"/>
      <c r="I35" s="29"/>
      <c r="J35"/>
    </row>
    <row r="36" spans="3:10">
      <c r="C36" s="1045" t="s">
        <v>33</v>
      </c>
      <c r="D36" s="27"/>
      <c r="E36" s="1043"/>
      <c r="F36"/>
      <c r="G36" s="1045" t="s">
        <v>1535</v>
      </c>
      <c r="H36"/>
      <c r="I36" s="29"/>
      <c r="J36"/>
    </row>
    <row r="37" spans="3:10">
      <c r="D37" s="27" t="s">
        <v>34</v>
      </c>
      <c r="E37" s="1043">
        <f>page_fn_IF</f>
        <v>27</v>
      </c>
      <c r="F37"/>
      <c r="G37" s="1045"/>
      <c r="H37" s="27" t="s">
        <v>1041</v>
      </c>
      <c r="I37" s="1043">
        <f>page_fn_OFFSET</f>
        <v>34</v>
      </c>
      <c r="J37"/>
    </row>
    <row r="38" spans="3:10">
      <c r="D38" s="27"/>
      <c r="E38" s="1043"/>
      <c r="F38"/>
      <c r="G38" s="1045"/>
      <c r="H38" s="27" t="s">
        <v>1040</v>
      </c>
      <c r="I38" s="1043">
        <f>page_fn_OFFSET</f>
        <v>34</v>
      </c>
      <c r="J38"/>
    </row>
    <row r="39" spans="3:10">
      <c r="C39" s="1045" t="s">
        <v>229</v>
      </c>
      <c r="D39" s="27"/>
      <c r="E39" s="1043"/>
      <c r="F39"/>
      <c r="G39" s="1045"/>
      <c r="H39" s="27" t="s">
        <v>1039</v>
      </c>
      <c r="I39" s="1043">
        <f>page_fn_OFFSET</f>
        <v>34</v>
      </c>
      <c r="J39"/>
    </row>
    <row r="40" spans="3:10">
      <c r="D40" s="27" t="s">
        <v>230</v>
      </c>
      <c r="E40" s="1043">
        <f>page_fn_COUNTIF</f>
        <v>26</v>
      </c>
      <c r="F40"/>
      <c r="G40" s="1045"/>
      <c r="H40" s="27" t="s">
        <v>1042</v>
      </c>
      <c r="I40" s="1043">
        <f>page_fn_OFFSET</f>
        <v>34</v>
      </c>
      <c r="J40"/>
    </row>
    <row r="41" spans="3:10">
      <c r="D41" s="27"/>
      <c r="E41" s="1043"/>
      <c r="F41"/>
      <c r="G41" s="1045"/>
      <c r="H41" s="27" t="s">
        <v>865</v>
      </c>
      <c r="I41" s="1043">
        <f>page_fn_OFFSET</f>
        <v>34</v>
      </c>
      <c r="J41"/>
    </row>
    <row r="42" spans="3:10">
      <c r="C42" s="1045" t="s">
        <v>38</v>
      </c>
      <c r="D42" s="27"/>
      <c r="E42" s="1043"/>
      <c r="F42"/>
      <c r="G42" s="1045"/>
      <c r="H42"/>
      <c r="I42" s="29"/>
      <c r="J42"/>
    </row>
    <row r="43" spans="3:10">
      <c r="D43" s="1004" t="s">
        <v>40</v>
      </c>
      <c r="E43" s="1043">
        <f>page_Ex_3</f>
        <v>43</v>
      </c>
      <c r="F43"/>
      <c r="G43" s="1045" t="s">
        <v>616</v>
      </c>
      <c r="H43"/>
      <c r="I43" s="29"/>
      <c r="J43"/>
    </row>
    <row r="44" spans="3:10">
      <c r="D44" s="27"/>
      <c r="E44" s="1043"/>
      <c r="F44"/>
      <c r="G44" s="1045"/>
      <c r="H44" s="27" t="s">
        <v>617</v>
      </c>
      <c r="I44" s="1043">
        <f>page_Valuing_Option</f>
        <v>18</v>
      </c>
      <c r="J44"/>
    </row>
    <row r="45" spans="3:10">
      <c r="C45" s="1045" t="s">
        <v>69</v>
      </c>
      <c r="D45" s="27"/>
      <c r="E45" s="1043"/>
      <c r="F45"/>
      <c r="G45" s="1045"/>
      <c r="H45"/>
      <c r="I45" s="29"/>
      <c r="J45"/>
    </row>
    <row r="46" spans="3:10">
      <c r="D46" s="27" t="s">
        <v>70</v>
      </c>
      <c r="E46" s="1043">
        <f>page_fn_AND</f>
        <v>22</v>
      </c>
      <c r="F46"/>
      <c r="G46" s="1045" t="s">
        <v>1564</v>
      </c>
      <c r="H46"/>
      <c r="I46" s="29"/>
      <c r="J46"/>
    </row>
    <row r="47" spans="3:10">
      <c r="D47" s="27"/>
      <c r="E47" s="1043"/>
      <c r="F47"/>
      <c r="G47" s="1045"/>
      <c r="H47" s="27" t="s">
        <v>590</v>
      </c>
      <c r="I47" s="1043" t="e">
        <f>page_fn_OR</f>
        <v>#NAME?</v>
      </c>
      <c r="J47"/>
    </row>
    <row r="48" spans="3:10">
      <c r="C48" s="1045" t="s">
        <v>420</v>
      </c>
      <c r="D48" s="27"/>
      <c r="E48" s="1043"/>
      <c r="F48"/>
      <c r="G48" s="1045"/>
      <c r="H48"/>
      <c r="I48" s="29"/>
      <c r="J48"/>
    </row>
    <row r="49" spans="3:10">
      <c r="D49" s="27" t="s">
        <v>1194</v>
      </c>
      <c r="E49" s="1043">
        <f>page_index</f>
        <v>2</v>
      </c>
      <c r="F49"/>
      <c r="G49" s="1045" t="s">
        <v>503</v>
      </c>
      <c r="H49"/>
      <c r="I49" s="29"/>
      <c r="J49"/>
    </row>
    <row r="50" spans="3:10">
      <c r="D50"/>
      <c r="F50"/>
      <c r="G50" s="1045"/>
      <c r="H50" s="27" t="s">
        <v>504</v>
      </c>
      <c r="I50" s="1043">
        <f>page_fn_LARGE</f>
        <v>29</v>
      </c>
      <c r="J50"/>
    </row>
    <row r="51" spans="3:10">
      <c r="C51" s="1045" t="s">
        <v>614</v>
      </c>
      <c r="D51"/>
      <c r="F51"/>
      <c r="G51" s="1045"/>
      <c r="H51"/>
      <c r="I51" s="29"/>
      <c r="J51"/>
    </row>
    <row r="52" spans="3:10">
      <c r="D52" s="27" t="s">
        <v>615</v>
      </c>
      <c r="E52" s="1043">
        <f>page_Valuing_Option</f>
        <v>18</v>
      </c>
      <c r="F52"/>
      <c r="G52" s="1045" t="s">
        <v>1562</v>
      </c>
      <c r="H52"/>
      <c r="I52" s="29"/>
      <c r="J52"/>
    </row>
    <row r="53" spans="3:10">
      <c r="D53"/>
      <c r="F53"/>
      <c r="G53" s="1045"/>
      <c r="H53" s="27" t="s">
        <v>590</v>
      </c>
      <c r="I53" s="1043" t="e">
        <f>page_fn_RIGHT</f>
        <v>#NAME?</v>
      </c>
      <c r="J53"/>
    </row>
    <row r="54" spans="3:10">
      <c r="C54" s="1045" t="s">
        <v>1104</v>
      </c>
      <c r="D54"/>
      <c r="F54"/>
      <c r="G54" s="1045"/>
      <c r="H54"/>
      <c r="I54" s="29"/>
      <c r="J54"/>
    </row>
    <row r="55" spans="3:10">
      <c r="D55" s="27" t="s">
        <v>1099</v>
      </c>
      <c r="E55" s="1043">
        <f>page_xref</f>
        <v>20</v>
      </c>
      <c r="F55"/>
      <c r="G55" s="1045" t="s">
        <v>176</v>
      </c>
      <c r="H55"/>
      <c r="I55" s="29"/>
      <c r="J55"/>
    </row>
    <row r="56" spans="3:10">
      <c r="D56" s="27"/>
      <c r="E56" s="1043"/>
      <c r="F56"/>
      <c r="G56" s="1045"/>
      <c r="H56" s="27" t="s">
        <v>590</v>
      </c>
      <c r="I56" s="1043">
        <f>page_rounding</f>
        <v>13</v>
      </c>
      <c r="J56"/>
    </row>
    <row r="57" spans="3:10">
      <c r="C57" s="1045" t="s">
        <v>1088</v>
      </c>
      <c r="D57" s="27"/>
      <c r="E57" s="1043"/>
      <c r="F57"/>
      <c r="G57" s="1045"/>
      <c r="H57"/>
      <c r="I57" s="29"/>
      <c r="J57"/>
    </row>
    <row r="58" spans="3:10">
      <c r="D58" s="27" t="s">
        <v>590</v>
      </c>
      <c r="E58" s="1043">
        <f>page_fn_COUNT</f>
        <v>25</v>
      </c>
      <c r="F58"/>
      <c r="G58" s="1045" t="s">
        <v>355</v>
      </c>
      <c r="H58"/>
      <c r="I58" s="29"/>
      <c r="J58"/>
    </row>
    <row r="59" spans="3:10">
      <c r="D59" s="27"/>
      <c r="E59" s="1043"/>
      <c r="F59"/>
      <c r="G59" s="1045"/>
      <c r="H59" s="27" t="s">
        <v>624</v>
      </c>
      <c r="I59" s="1043">
        <f>page_Prioritising</f>
        <v>11</v>
      </c>
      <c r="J59"/>
    </row>
    <row r="60" spans="3:10">
      <c r="C60" s="1045" t="s">
        <v>1552</v>
      </c>
      <c r="D60" s="27"/>
      <c r="E60" s="1043"/>
      <c r="F60"/>
      <c r="G60" s="1045"/>
      <c r="H60"/>
      <c r="I60" s="29"/>
      <c r="J60"/>
    </row>
    <row r="61" spans="3:10">
      <c r="D61" s="27" t="s">
        <v>231</v>
      </c>
      <c r="E61" s="1043">
        <f>page_fn_COUNTIF</f>
        <v>26</v>
      </c>
      <c r="F61"/>
      <c r="G61" s="1045" t="s">
        <v>1388</v>
      </c>
      <c r="H61"/>
      <c r="I61" s="29"/>
      <c r="J61"/>
    </row>
    <row r="62" spans="3:10">
      <c r="D62" s="27" t="s">
        <v>24</v>
      </c>
      <c r="E62" s="1043">
        <f>page_Ex_3</f>
        <v>43</v>
      </c>
      <c r="F62"/>
      <c r="G62" s="1045"/>
      <c r="H62" s="27" t="s">
        <v>624</v>
      </c>
      <c r="I62" s="1043">
        <f>page_Ranking</f>
        <v>12</v>
      </c>
      <c r="J62"/>
    </row>
    <row r="63" spans="3:10">
      <c r="D63" s="27" t="s">
        <v>590</v>
      </c>
      <c r="E63" s="1043">
        <f>page_fn_COUNTIF</f>
        <v>26</v>
      </c>
      <c r="F63"/>
      <c r="G63" s="1045"/>
      <c r="H63"/>
      <c r="I63" s="29"/>
      <c r="J63"/>
    </row>
    <row r="64" spans="3:10">
      <c r="D64"/>
      <c r="F64"/>
      <c r="G64" s="1045" t="s">
        <v>626</v>
      </c>
      <c r="H64"/>
      <c r="I64" s="29"/>
      <c r="J64"/>
    </row>
    <row r="65" spans="3:10">
      <c r="C65" s="1045" t="s">
        <v>39</v>
      </c>
      <c r="D65" s="27"/>
      <c r="E65" s="1043"/>
      <c r="F65"/>
      <c r="G65" s="1045"/>
      <c r="H65" s="27" t="s">
        <v>627</v>
      </c>
      <c r="I65" s="1043">
        <f>page_Aggregating</f>
        <v>3</v>
      </c>
      <c r="J65"/>
    </row>
    <row r="66" spans="3:10">
      <c r="D66" s="27" t="s">
        <v>41</v>
      </c>
      <c r="E66" s="1043">
        <f>page_Ex_3</f>
        <v>43</v>
      </c>
      <c r="F66"/>
      <c r="G66" s="1045"/>
      <c r="H66" s="27" t="s">
        <v>1034</v>
      </c>
      <c r="I66" s="1043">
        <f>page_Scenario_Analysing</f>
        <v>14</v>
      </c>
      <c r="J66"/>
    </row>
    <row r="67" spans="3:10">
      <c r="D67" s="27" t="s">
        <v>877</v>
      </c>
      <c r="E67" s="1043">
        <f>page_Combine_2</f>
        <v>39</v>
      </c>
      <c r="F67"/>
      <c r="G67" s="1045"/>
      <c r="H67" s="27" t="s">
        <v>628</v>
      </c>
      <c r="I67" s="1043">
        <f>page_Averaging</f>
        <v>4</v>
      </c>
      <c r="J67"/>
    </row>
    <row r="68" spans="3:10">
      <c r="D68" s="27"/>
      <c r="E68" s="1043"/>
      <c r="F68"/>
      <c r="G68" s="1045"/>
      <c r="H68" s="27" t="s">
        <v>629</v>
      </c>
      <c r="I68" s="1043">
        <f>page_Charting</f>
        <v>5</v>
      </c>
      <c r="J68"/>
    </row>
    <row r="69" spans="3:10">
      <c r="C69" s="1045" t="s">
        <v>1195</v>
      </c>
      <c r="D69" s="27"/>
      <c r="E69" s="1043"/>
      <c r="F69"/>
      <c r="G69" s="1045"/>
      <c r="H69" s="27" t="s">
        <v>596</v>
      </c>
      <c r="I69" s="1043">
        <f>page_Filtering</f>
        <v>7</v>
      </c>
      <c r="J69"/>
    </row>
    <row r="70" spans="3:10">
      <c r="D70" s="27" t="s">
        <v>630</v>
      </c>
      <c r="E70" s="1043">
        <f>page_Highlighting</f>
        <v>6</v>
      </c>
      <c r="F70"/>
      <c r="G70" s="1045"/>
      <c r="H70" s="27" t="s">
        <v>630</v>
      </c>
      <c r="I70" s="1043">
        <f>page_Highlighting</f>
        <v>6</v>
      </c>
      <c r="J70"/>
    </row>
    <row r="71" spans="3:10">
      <c r="D71"/>
      <c r="F71"/>
      <c r="G71" s="1045"/>
      <c r="H71" s="27" t="s">
        <v>631</v>
      </c>
      <c r="I71" s="1043">
        <f>page_Interpolating</f>
        <v>9</v>
      </c>
      <c r="J71"/>
    </row>
    <row r="72" spans="3:10">
      <c r="C72" s="1045" t="s">
        <v>753</v>
      </c>
      <c r="D72"/>
      <c r="F72"/>
      <c r="G72" s="1045"/>
      <c r="H72" s="27" t="s">
        <v>1031</v>
      </c>
      <c r="I72" s="1043">
        <f>page_Looking_Up</f>
        <v>10</v>
      </c>
      <c r="J72"/>
    </row>
    <row r="73" spans="3:10">
      <c r="D73" s="27" t="s">
        <v>754</v>
      </c>
      <c r="E73" s="1043">
        <f>page_Ex_1</f>
        <v>42</v>
      </c>
      <c r="F73"/>
      <c r="G73" s="1045"/>
      <c r="H73" s="27" t="s">
        <v>1032</v>
      </c>
      <c r="I73" s="1043">
        <f>page_Prioritising</f>
        <v>11</v>
      </c>
      <c r="J73"/>
    </row>
    <row r="74" spans="3:10">
      <c r="D74" s="27" t="s">
        <v>37</v>
      </c>
      <c r="E74" s="1043">
        <f>page_Ex_3</f>
        <v>43</v>
      </c>
      <c r="F74"/>
      <c r="G74" s="1045"/>
      <c r="H74" s="27" t="s">
        <v>1033</v>
      </c>
      <c r="I74" s="1043">
        <f>page_Ranking</f>
        <v>12</v>
      </c>
      <c r="J74"/>
    </row>
    <row r="75" spans="3:10">
      <c r="D75" s="27" t="s">
        <v>942</v>
      </c>
      <c r="E75" s="1043">
        <f>page_Ex_Acc_Bal</f>
        <v>44</v>
      </c>
      <c r="F75"/>
      <c r="G75" s="1045"/>
      <c r="H75" s="27" t="s">
        <v>1035</v>
      </c>
      <c r="I75" s="1043">
        <f>page_Scenario_Analysing</f>
        <v>14</v>
      </c>
      <c r="J75"/>
    </row>
    <row r="76" spans="3:10">
      <c r="D76" s="27" t="s">
        <v>755</v>
      </c>
      <c r="E76" s="1043">
        <f>page_Ex_2</f>
        <v>45</v>
      </c>
      <c r="F76"/>
      <c r="G76" s="1045"/>
      <c r="H76" s="27" t="s">
        <v>1036</v>
      </c>
      <c r="I76" s="1043">
        <f>page_Scheduling</f>
        <v>15</v>
      </c>
      <c r="J76"/>
    </row>
    <row r="77" spans="3:10">
      <c r="D77" s="27" t="s">
        <v>1181</v>
      </c>
      <c r="E77" s="1043">
        <f>page_Ex_4</f>
        <v>46</v>
      </c>
      <c r="F77"/>
      <c r="G77" s="1045"/>
      <c r="H77" s="27" t="s">
        <v>750</v>
      </c>
      <c r="I77" s="1043">
        <f>page_seasonalising</f>
        <v>16</v>
      </c>
      <c r="J77"/>
    </row>
    <row r="78" spans="3:10">
      <c r="D78" s="27"/>
      <c r="E78" s="1043"/>
      <c r="F78"/>
      <c r="G78" s="1045"/>
      <c r="H78"/>
      <c r="I78" s="29"/>
      <c r="J78"/>
    </row>
    <row r="79" spans="3:10">
      <c r="C79" s="1045" t="s">
        <v>27</v>
      </c>
      <c r="D79" s="27"/>
      <c r="E79" s="1043"/>
      <c r="F79"/>
      <c r="G79" s="1045" t="s">
        <v>623</v>
      </c>
      <c r="H79"/>
      <c r="I79" s="29"/>
      <c r="J79"/>
    </row>
    <row r="80" spans="3:10">
      <c r="D80" s="27" t="s">
        <v>28</v>
      </c>
      <c r="E80" s="1043">
        <f>page_Ex_Status</f>
        <v>47</v>
      </c>
      <c r="F80"/>
      <c r="G80" s="1045"/>
      <c r="H80" s="27" t="s">
        <v>624</v>
      </c>
      <c r="I80" s="1043">
        <f>page_Scenario_Analysing</f>
        <v>14</v>
      </c>
      <c r="J80"/>
    </row>
    <row r="81" spans="3:10">
      <c r="D81" s="27"/>
      <c r="E81" s="1043"/>
      <c r="F81"/>
      <c r="G81" s="1045"/>
      <c r="H81" s="1004" t="s">
        <v>1197</v>
      </c>
      <c r="I81" s="1043">
        <f>page_fn_CHOOSE</f>
        <v>24</v>
      </c>
      <c r="J81"/>
    </row>
    <row r="82" spans="3:10">
      <c r="C82" s="1045" t="s">
        <v>1387</v>
      </c>
      <c r="D82" s="27"/>
      <c r="E82" s="1043"/>
      <c r="F82"/>
      <c r="G82" s="1045"/>
      <c r="H82" s="1004" t="s">
        <v>1198</v>
      </c>
      <c r="I82" s="1043">
        <f>page_fn_OFFSET</f>
        <v>34</v>
      </c>
      <c r="J82"/>
    </row>
    <row r="83" spans="3:10">
      <c r="D83" s="27" t="s">
        <v>624</v>
      </c>
      <c r="E83" s="1043">
        <f>page_Filtering</f>
        <v>7</v>
      </c>
      <c r="F83"/>
      <c r="G83" s="1045"/>
      <c r="H83"/>
      <c r="I83" s="29"/>
      <c r="J83"/>
    </row>
    <row r="84" spans="3:10">
      <c r="D84"/>
      <c r="F84"/>
      <c r="G84" s="1045" t="s">
        <v>1501</v>
      </c>
      <c r="H84"/>
      <c r="I84" s="29"/>
      <c r="J84"/>
    </row>
    <row r="85" spans="3:10">
      <c r="C85" s="1045" t="s">
        <v>589</v>
      </c>
      <c r="D85"/>
      <c r="F85"/>
      <c r="G85" s="1045"/>
      <c r="H85" s="27" t="s">
        <v>624</v>
      </c>
      <c r="I85" s="1043">
        <f>page_Scheduling</f>
        <v>15</v>
      </c>
      <c r="J85"/>
    </row>
    <row r="86" spans="3:10">
      <c r="D86" s="27" t="s">
        <v>1089</v>
      </c>
      <c r="E86" s="1043">
        <f>page_fn_ABS</f>
        <v>21</v>
      </c>
      <c r="F86"/>
      <c r="G86" s="1045"/>
      <c r="H86"/>
      <c r="I86" s="29"/>
      <c r="J86"/>
    </row>
    <row r="87" spans="3:10">
      <c r="D87" s="27" t="s">
        <v>1543</v>
      </c>
      <c r="E87" s="1043">
        <f>page_fn_AND</f>
        <v>22</v>
      </c>
      <c r="F87"/>
      <c r="G87" s="1045" t="s">
        <v>8</v>
      </c>
      <c r="H87"/>
      <c r="I87" s="29"/>
      <c r="J87"/>
    </row>
    <row r="88" spans="3:10">
      <c r="D88" s="27" t="s">
        <v>1546</v>
      </c>
      <c r="E88" s="1043">
        <f>page_fn_AVERAGE</f>
        <v>23</v>
      </c>
      <c r="F88"/>
      <c r="G88" s="1045"/>
      <c r="H88" s="27" t="s">
        <v>624</v>
      </c>
      <c r="I88" s="1043">
        <f>page_seasonalising</f>
        <v>16</v>
      </c>
      <c r="J88"/>
    </row>
    <row r="89" spans="3:10">
      <c r="D89" s="1004" t="s">
        <v>1563</v>
      </c>
      <c r="E89" s="1043">
        <f>page_fn_CHOOSE</f>
        <v>24</v>
      </c>
      <c r="F89"/>
      <c r="G89" s="1045"/>
      <c r="H89"/>
      <c r="I89" s="29"/>
      <c r="J89"/>
    </row>
    <row r="90" spans="3:10">
      <c r="D90" s="27" t="s">
        <v>1100</v>
      </c>
      <c r="E90" s="1043">
        <f>page_xref</f>
        <v>20</v>
      </c>
      <c r="F90"/>
      <c r="G90" s="1045" t="s">
        <v>353</v>
      </c>
      <c r="H90"/>
      <c r="I90" s="29"/>
      <c r="J90"/>
    </row>
    <row r="91" spans="3:10">
      <c r="D91" s="27" t="s">
        <v>1088</v>
      </c>
      <c r="E91" s="1043">
        <f>page_fn_COUNT</f>
        <v>25</v>
      </c>
      <c r="F91"/>
      <c r="G91" s="1045"/>
      <c r="H91" s="27" t="s">
        <v>621</v>
      </c>
      <c r="I91" s="1043">
        <f>page_ratesensitising</f>
        <v>8</v>
      </c>
      <c r="J91"/>
    </row>
    <row r="92" spans="3:10">
      <c r="D92" s="27" t="s">
        <v>1552</v>
      </c>
      <c r="E92" s="1043">
        <f>page_fn_COUNTIF</f>
        <v>26</v>
      </c>
      <c r="F92"/>
      <c r="G92" s="1045"/>
      <c r="H92" s="27" t="s">
        <v>622</v>
      </c>
      <c r="I92" s="1043">
        <f>page_Sensitising_Value</f>
        <v>17</v>
      </c>
      <c r="J92"/>
    </row>
    <row r="93" spans="3:10">
      <c r="D93" s="1004" t="s">
        <v>1502</v>
      </c>
      <c r="E93" s="1043">
        <f>page_fn_IF</f>
        <v>27</v>
      </c>
      <c r="F93"/>
      <c r="G93" s="1045"/>
      <c r="H93"/>
      <c r="I93" s="29"/>
      <c r="J93"/>
    </row>
    <row r="94" spans="3:10">
      <c r="D94" s="27" t="s">
        <v>1556</v>
      </c>
      <c r="E94" s="1043">
        <f>page_fn_ISNA</f>
        <v>28</v>
      </c>
      <c r="F94"/>
      <c r="G94" s="1045" t="s">
        <v>505</v>
      </c>
      <c r="H94"/>
      <c r="I94" s="29"/>
      <c r="J94"/>
    </row>
    <row r="95" spans="3:10">
      <c r="D95" s="27" t="s">
        <v>1551</v>
      </c>
      <c r="E95" s="1043">
        <f>page_fn_LARGE</f>
        <v>29</v>
      </c>
      <c r="F95"/>
      <c r="G95" s="1045"/>
      <c r="H95" s="27" t="s">
        <v>553</v>
      </c>
      <c r="I95" s="1043">
        <f>page_fn_LARGE</f>
        <v>29</v>
      </c>
      <c r="J95"/>
    </row>
    <row r="96" spans="3:10">
      <c r="D96" s="27" t="s">
        <v>1553</v>
      </c>
      <c r="E96" s="1043">
        <f>page_fn_LEFT</f>
        <v>30</v>
      </c>
      <c r="F96"/>
      <c r="G96" s="1045"/>
      <c r="H96"/>
      <c r="I96" s="29"/>
      <c r="J96"/>
    </row>
    <row r="97" spans="3:10">
      <c r="D97" s="27" t="s">
        <v>1542</v>
      </c>
      <c r="E97" s="1043">
        <f>page_fn_LEFT</f>
        <v>30</v>
      </c>
      <c r="F97"/>
      <c r="G97" s="1045" t="s">
        <v>426</v>
      </c>
      <c r="H97"/>
      <c r="I97" s="29"/>
      <c r="J97"/>
    </row>
    <row r="98" spans="3:10">
      <c r="D98" s="1004" t="s">
        <v>143</v>
      </c>
      <c r="E98" s="1043">
        <f>page_fn_LOOKUP</f>
        <v>31</v>
      </c>
      <c r="F98"/>
      <c r="G98" s="1045"/>
      <c r="H98" s="27" t="s">
        <v>26</v>
      </c>
      <c r="I98" s="1043">
        <f>page_Ex_Status</f>
        <v>47</v>
      </c>
      <c r="J98"/>
    </row>
    <row r="99" spans="3:10">
      <c r="D99" s="27" t="s">
        <v>1549</v>
      </c>
      <c r="E99" s="1043">
        <f>page_fn_MATCH</f>
        <v>32</v>
      </c>
      <c r="F99"/>
      <c r="G99" s="1045"/>
      <c r="H99"/>
      <c r="I99" s="29"/>
      <c r="J99"/>
    </row>
    <row r="100" spans="3:10">
      <c r="D100" s="27" t="s">
        <v>1540</v>
      </c>
      <c r="E100" s="1043">
        <f>page_fn_MAX</f>
        <v>33</v>
      </c>
      <c r="F100"/>
      <c r="G100" s="1045" t="s">
        <v>1547</v>
      </c>
      <c r="H100"/>
      <c r="I100" s="29"/>
      <c r="J100"/>
    </row>
    <row r="101" spans="3:10">
      <c r="D101" s="27" t="s">
        <v>1561</v>
      </c>
      <c r="E101" s="1043">
        <f>page_fn_LEFT</f>
        <v>30</v>
      </c>
      <c r="G101" s="1045"/>
      <c r="H101" s="27" t="s">
        <v>590</v>
      </c>
      <c r="I101" s="1043">
        <f>page_fn_SUM</f>
        <v>35</v>
      </c>
      <c r="J101"/>
    </row>
    <row r="102" spans="3:10">
      <c r="D102" s="27" t="s">
        <v>1541</v>
      </c>
      <c r="E102" s="1043">
        <f>page_fn_MAX</f>
        <v>33</v>
      </c>
      <c r="F102"/>
      <c r="G102" s="1045"/>
      <c r="H102" s="27" t="s">
        <v>710</v>
      </c>
      <c r="I102" s="1043">
        <f>page_fn_SUM</f>
        <v>35</v>
      </c>
      <c r="J102"/>
    </row>
    <row r="103" spans="3:10">
      <c r="D103" s="1004" t="s">
        <v>1535</v>
      </c>
      <c r="E103" s="1043">
        <f>page_fn_OFFSET</f>
        <v>34</v>
      </c>
      <c r="F103"/>
      <c r="G103" s="1045"/>
      <c r="H103"/>
      <c r="I103" s="29"/>
      <c r="J103"/>
    </row>
    <row r="104" spans="3:10">
      <c r="D104" s="27" t="s">
        <v>1564</v>
      </c>
      <c r="E104" s="1043">
        <f>page_fn_AND</f>
        <v>22</v>
      </c>
      <c r="F104"/>
      <c r="G104" s="1045" t="s">
        <v>1544</v>
      </c>
      <c r="H104"/>
      <c r="I104" s="29"/>
      <c r="J104"/>
    </row>
    <row r="105" spans="3:10">
      <c r="D105" s="27" t="s">
        <v>1562</v>
      </c>
      <c r="E105" s="1043">
        <f>page_fn_LEFT</f>
        <v>30</v>
      </c>
      <c r="F105"/>
      <c r="G105" s="1045"/>
      <c r="H105" s="27" t="s">
        <v>878</v>
      </c>
      <c r="I105" s="1043">
        <f>page_Combine_2</f>
        <v>39</v>
      </c>
      <c r="J105"/>
    </row>
    <row r="106" spans="3:10">
      <c r="D106" s="1004" t="s">
        <v>176</v>
      </c>
      <c r="E106" s="1043">
        <f>page_rounding</f>
        <v>13</v>
      </c>
      <c r="F106"/>
      <c r="G106" s="1045"/>
      <c r="H106" s="27" t="s">
        <v>590</v>
      </c>
      <c r="I106" s="1043">
        <f>page_fn_SUMPRODUCT</f>
        <v>36</v>
      </c>
      <c r="J106"/>
    </row>
    <row r="107" spans="3:10">
      <c r="D107" s="1004" t="s">
        <v>1547</v>
      </c>
      <c r="E107" s="1043">
        <f>page_fn_SUM</f>
        <v>35</v>
      </c>
      <c r="F107"/>
      <c r="G107" s="1045"/>
      <c r="H107" s="27" t="s">
        <v>850</v>
      </c>
      <c r="I107" s="1043">
        <f>page_fn_SUMPRODUCT</f>
        <v>36</v>
      </c>
      <c r="J107"/>
    </row>
    <row r="108" spans="3:10">
      <c r="D108" s="27" t="s">
        <v>1544</v>
      </c>
      <c r="E108" s="1043">
        <f>page_fn_SUMPRODUCT</f>
        <v>36</v>
      </c>
      <c r="F108"/>
      <c r="G108" s="1045"/>
      <c r="H108"/>
      <c r="I108" s="29"/>
      <c r="J108"/>
    </row>
    <row r="109" spans="3:10">
      <c r="D109" s="1004" t="s">
        <v>1389</v>
      </c>
      <c r="E109" s="1043">
        <f>page_fn_VLOOKUP</f>
        <v>37</v>
      </c>
      <c r="F109"/>
      <c r="G109" s="1045" t="s">
        <v>73</v>
      </c>
      <c r="H109"/>
      <c r="I109" s="29"/>
      <c r="J109"/>
    </row>
    <row r="110" spans="3:10">
      <c r="D110"/>
      <c r="F110"/>
      <c r="G110" s="1045"/>
      <c r="H110" s="27" t="s">
        <v>74</v>
      </c>
      <c r="I110" s="1043">
        <f>page_fn_AND</f>
        <v>22</v>
      </c>
      <c r="J110"/>
    </row>
    <row r="111" spans="3:10">
      <c r="C111" s="1045" t="s">
        <v>848</v>
      </c>
      <c r="D111"/>
      <c r="F111"/>
      <c r="G111" s="1045"/>
      <c r="H111"/>
      <c r="I111" s="29"/>
      <c r="J111"/>
    </row>
    <row r="112" spans="3:10">
      <c r="D112" s="27" t="s">
        <v>849</v>
      </c>
      <c r="E112" s="1043">
        <f>page_fn_SUMPRODUCT</f>
        <v>36</v>
      </c>
      <c r="F112"/>
      <c r="G112" s="1045" t="s">
        <v>868</v>
      </c>
      <c r="H112"/>
      <c r="I112" s="29"/>
      <c r="J112"/>
    </row>
    <row r="113" spans="3:10">
      <c r="D113"/>
      <c r="F113"/>
      <c r="G113" s="1045"/>
      <c r="H113" s="27" t="s">
        <v>867</v>
      </c>
      <c r="I113" s="1043">
        <f>page_Highlighting</f>
        <v>6</v>
      </c>
      <c r="J113"/>
    </row>
    <row r="114" spans="3:10">
      <c r="C114" s="1045" t="s">
        <v>1386</v>
      </c>
      <c r="D114"/>
      <c r="F114"/>
      <c r="G114" s="1045"/>
      <c r="H114"/>
      <c r="I114" s="29"/>
      <c r="J114"/>
    </row>
    <row r="115" spans="3:10">
      <c r="D115" s="27" t="s">
        <v>1196</v>
      </c>
      <c r="E115" s="1043">
        <f>page_Highlighting</f>
        <v>6</v>
      </c>
      <c r="F115"/>
      <c r="G115" s="1045" t="s">
        <v>368</v>
      </c>
      <c r="H115"/>
      <c r="I115" s="29"/>
      <c r="J115"/>
    </row>
    <row r="116" spans="3:10">
      <c r="D116" s="27" t="s">
        <v>624</v>
      </c>
      <c r="E116" s="1043">
        <f>page_Highlighting</f>
        <v>6</v>
      </c>
      <c r="F116"/>
      <c r="G116" s="1045"/>
      <c r="H116" s="27" t="s">
        <v>619</v>
      </c>
      <c r="I116" s="1043">
        <f>page_ratesensitising</f>
        <v>8</v>
      </c>
      <c r="J116"/>
    </row>
    <row r="117" spans="3:10">
      <c r="D117" s="27" t="s">
        <v>866</v>
      </c>
      <c r="E117" s="1043">
        <f>page_Highlighting</f>
        <v>6</v>
      </c>
      <c r="F117"/>
      <c r="G117" s="1045"/>
      <c r="H117" s="27" t="s">
        <v>620</v>
      </c>
      <c r="I117" s="1043">
        <f>page_Scenario_Analysing</f>
        <v>14</v>
      </c>
      <c r="J117"/>
    </row>
    <row r="118" spans="3:10">
      <c r="D118"/>
      <c r="F118"/>
      <c r="G118" s="1045"/>
      <c r="H118" s="27" t="s">
        <v>620</v>
      </c>
      <c r="I118" s="1043">
        <f>page_Sensitising_Value</f>
        <v>17</v>
      </c>
      <c r="J118"/>
    </row>
    <row r="119" spans="3:10">
      <c r="C119" s="1045" t="s">
        <v>1502</v>
      </c>
      <c r="D119"/>
      <c r="F119"/>
      <c r="G119" s="1045"/>
      <c r="H119" s="27" t="s">
        <v>618</v>
      </c>
      <c r="I119" s="1043">
        <f>page_Valuing_Option</f>
        <v>18</v>
      </c>
      <c r="J119"/>
    </row>
    <row r="120" spans="3:10">
      <c r="D120" s="1004" t="s">
        <v>35</v>
      </c>
      <c r="E120" s="1043">
        <f>page_fn_IF</f>
        <v>27</v>
      </c>
      <c r="F120"/>
      <c r="G120" s="1045"/>
      <c r="H120"/>
      <c r="I120" s="29"/>
      <c r="J120"/>
    </row>
    <row r="121" spans="3:10">
      <c r="D121" s="27" t="s">
        <v>591</v>
      </c>
      <c r="E121" s="1043">
        <f>page_fn_IF</f>
        <v>27</v>
      </c>
      <c r="F121"/>
      <c r="G121" s="1045" t="s">
        <v>597</v>
      </c>
      <c r="H121"/>
      <c r="I121" s="29"/>
      <c r="J121"/>
    </row>
    <row r="122" spans="3:10">
      <c r="D122"/>
      <c r="F122"/>
      <c r="G122" s="1045"/>
      <c r="H122" s="27" t="s">
        <v>598</v>
      </c>
      <c r="I122" s="1043">
        <f>page_Ex_Others</f>
        <v>46</v>
      </c>
      <c r="J122"/>
    </row>
    <row r="123" spans="3:10">
      <c r="C123" s="1045" t="s">
        <v>1360</v>
      </c>
      <c r="D123"/>
      <c r="F123"/>
      <c r="G123" s="1045"/>
      <c r="H123"/>
      <c r="I123" s="29"/>
      <c r="J123"/>
    </row>
    <row r="124" spans="3:10">
      <c r="D124" s="27" t="s">
        <v>634</v>
      </c>
      <c r="E124" s="1043">
        <f>page_Interpolating</f>
        <v>9</v>
      </c>
      <c r="F124"/>
      <c r="G124" s="1045" t="s">
        <v>409</v>
      </c>
      <c r="H124"/>
      <c r="I124" s="29"/>
      <c r="J124"/>
    </row>
    <row r="125" spans="3:10">
      <c r="D125" s="27" t="s">
        <v>756</v>
      </c>
      <c r="E125" s="1043">
        <f>page_Ex_2</f>
        <v>45</v>
      </c>
      <c r="F125"/>
      <c r="G125" s="1045"/>
      <c r="H125" s="27" t="s">
        <v>752</v>
      </c>
      <c r="I125" s="1043">
        <f>page_VB</f>
        <v>19</v>
      </c>
      <c r="J125"/>
    </row>
    <row r="126" spans="3:10">
      <c r="D126" s="27" t="s">
        <v>633</v>
      </c>
      <c r="E126" s="1043">
        <f>page_Interpolating</f>
        <v>9</v>
      </c>
      <c r="F126"/>
      <c r="G126" s="1045"/>
      <c r="H126" s="27" t="s">
        <v>751</v>
      </c>
      <c r="I126" s="1043">
        <f>page_VB</f>
        <v>19</v>
      </c>
      <c r="J126"/>
    </row>
    <row r="127" spans="3:10">
      <c r="D127" s="27" t="s">
        <v>632</v>
      </c>
      <c r="E127" s="1043">
        <f>page_Interpolating</f>
        <v>9</v>
      </c>
      <c r="F127"/>
      <c r="G127" s="1045"/>
      <c r="H127"/>
      <c r="I127" s="29"/>
      <c r="J127"/>
    </row>
    <row r="128" spans="3:10">
      <c r="D128" s="27" t="s">
        <v>635</v>
      </c>
      <c r="E128" s="1043">
        <f>page_Interpolating</f>
        <v>9</v>
      </c>
      <c r="F128"/>
      <c r="G128" s="1045" t="s">
        <v>1389</v>
      </c>
      <c r="H128"/>
      <c r="I128" s="29"/>
      <c r="J128"/>
    </row>
    <row r="129" spans="3:10">
      <c r="D129"/>
      <c r="F129"/>
      <c r="G129" s="1045"/>
      <c r="H129" s="27" t="s">
        <v>590</v>
      </c>
      <c r="I129" s="1043">
        <f>page_fn_VLOOKUP</f>
        <v>37</v>
      </c>
      <c r="J129"/>
    </row>
    <row r="130" spans="3:10">
      <c r="C130" s="1045" t="s">
        <v>1556</v>
      </c>
      <c r="D130"/>
      <c r="F130"/>
      <c r="G130" s="1045"/>
      <c r="H130" s="27"/>
      <c r="I130" s="1043"/>
      <c r="J130"/>
    </row>
    <row r="131" spans="3:10">
      <c r="D131" s="27" t="s">
        <v>590</v>
      </c>
      <c r="E131" s="1043">
        <f>page_fn_ISNA</f>
        <v>28</v>
      </c>
      <c r="F131"/>
      <c r="G131"/>
      <c r="H131"/>
      <c r="I131"/>
      <c r="J131"/>
    </row>
    <row r="132" spans="3:10">
      <c r="D132"/>
      <c r="F132"/>
      <c r="G132"/>
      <c r="H132"/>
      <c r="I132"/>
      <c r="J132"/>
    </row>
    <row r="133" spans="3:10">
      <c r="G133"/>
      <c r="H133"/>
      <c r="I133"/>
      <c r="J133"/>
    </row>
    <row r="134" spans="3:10">
      <c r="D134" s="27"/>
      <c r="E134" s="1043"/>
    </row>
    <row r="135" spans="3:10">
      <c r="C135" s="1697" t="str">
        <f>back_to_index</f>
        <v>Back to contents</v>
      </c>
      <c r="D135" s="1697"/>
      <c r="F135" s="1318"/>
      <c r="G135" s="1318"/>
      <c r="I135" s="1673" t="str">
        <f>back_to_top</f>
        <v>Back to top</v>
      </c>
      <c r="J135" s="1673"/>
    </row>
    <row r="136" spans="3:10">
      <c r="D136" s="1827">
        <f>page_Indexx</f>
        <v>49</v>
      </c>
      <c r="E136" s="1827"/>
      <c r="F136" s="1827"/>
      <c r="G136" s="1827"/>
      <c r="H136" s="1827"/>
      <c r="I136" s="1827"/>
      <c r="J136" s="1827"/>
    </row>
    <row r="137" spans="3:10">
      <c r="D137" s="1828" t="str">
        <f>copyright</f>
        <v>Copyright (c) 2009 Tykoh Group Pty Limited</v>
      </c>
      <c r="E137" s="1828"/>
      <c r="F137" s="1828"/>
      <c r="G137" s="1828"/>
      <c r="H137" s="1828"/>
      <c r="I137" s="1828"/>
      <c r="J137" s="1828"/>
    </row>
    <row r="138" spans="3:10">
      <c r="D138" s="1825" t="str">
        <f>home_address</f>
        <v>www.tykoh.com</v>
      </c>
      <c r="E138" s="1825"/>
      <c r="F138" s="1825"/>
      <c r="G138" s="1825"/>
      <c r="H138" s="1825"/>
      <c r="I138" s="1825"/>
      <c r="J138" s="1825"/>
    </row>
  </sheetData>
  <sheetProtection algorithmName="SHA-512" hashValue="EkEAnDASvJD4phgkNJK2jZK+dpLMCpc9ffSxM/5vkaVna9x5KaXdsiz8GEdZjZyek/NgYh/FNXQ6M2D80jY/Dg==" saltValue="6f2EEQyxOrIEYtCFapiXOg==" spinCount="100000" sheet="1" objects="1" scenarios="1"/>
  <mergeCells count="6">
    <mergeCell ref="D138:J138"/>
    <mergeCell ref="C3:J3"/>
    <mergeCell ref="C135:D135"/>
    <mergeCell ref="I135:J135"/>
    <mergeCell ref="D136:J136"/>
    <mergeCell ref="D137:J137"/>
  </mergeCells>
  <phoneticPr fontId="2" type="noConversion"/>
  <conditionalFormatting sqref="A4:XFD132">
    <cfRule type="expression" dxfId="2" priority="1" stopIfTrue="1">
      <formula>MOD(ROW(4:4),2)=1</formula>
    </cfRule>
  </conditionalFormatting>
  <hyperlinks>
    <hyperlink ref="D89" location="hh_fn_CHOOSE" display="CHOOSE" xr:uid="{00000000-0004-0000-3E00-000000000000}"/>
    <hyperlink ref="E89" location="hh_fn_CHOOSE" display="hh_fn_CHOOSE" xr:uid="{00000000-0004-0000-3E00-000001000000}"/>
    <hyperlink ref="D93" location="hh_fn_IF" display="IF," xr:uid="{00000000-0004-0000-3E00-000002000000}"/>
    <hyperlink ref="E93" location="hh_fn_IF" display="hh_fn_IF" xr:uid="{00000000-0004-0000-3E00-000003000000}"/>
    <hyperlink ref="D30" location="hh_fn_CHOOSE" display="function," xr:uid="{00000000-0004-0000-3E00-000004000000}"/>
    <hyperlink ref="E30" location="hh_fn_CHOOSE" display="hh_fn_CHOOSE" xr:uid="{00000000-0004-0000-3E00-000005000000}"/>
    <hyperlink ref="D55" location="hh_xref" display="of functions used" xr:uid="{00000000-0004-0000-3E00-000006000000}"/>
    <hyperlink ref="E55" location="hh_xref" display="hh_xref" xr:uid="{00000000-0004-0000-3E00-000007000000}"/>
    <hyperlink ref="D90" location="hh_xref" display="cross reference" xr:uid="{00000000-0004-0000-3E00-000008000000}"/>
    <hyperlink ref="E90" location="hh_xref" display="hh_xref" xr:uid="{00000000-0004-0000-3E00-000009000000}"/>
    <hyperlink ref="D98" location="hh_fn_LOOKUP" display="LOOKUP," xr:uid="{00000000-0004-0000-3E00-00000A000000}"/>
    <hyperlink ref="E98" location="hh_fn_LOOKUP" display="hh_fn_LOOKUP" xr:uid="{00000000-0004-0000-3E00-00000B000000}"/>
    <hyperlink ref="D103" location="hh_fn_OFFSET" display="OFFSET," xr:uid="{00000000-0004-0000-3E00-00000C000000}"/>
    <hyperlink ref="E103" location="hh_fn_OFFSET" display="hh_fn_OFFSET" xr:uid="{00000000-0004-0000-3E00-00000D000000}"/>
    <hyperlink ref="D107" location="hh_fn_SUM" display="SUM," xr:uid="{00000000-0004-0000-3E00-00000E000000}"/>
    <hyperlink ref="E107" location="hh_fn_SUM" display="hh_fn_SUM" xr:uid="{00000000-0004-0000-3E00-00000F000000}"/>
    <hyperlink ref="D109" location="hh_fn_VLOOKUP" display="VLOOKUP," xr:uid="{00000000-0004-0000-3E00-000010000000}"/>
    <hyperlink ref="E109" location="hh_fn_VLOOKUP" display="hh_fn_VLOOKUP" xr:uid="{00000000-0004-0000-3E00-000011000000}"/>
    <hyperlink ref="D121" location="hh_fn_IF" display="function," xr:uid="{00000000-0004-0000-3E00-000012000000}"/>
    <hyperlink ref="E121" location="hh_fn_IF" display="hh_fn_IF" xr:uid="{00000000-0004-0000-3E00-000013000000}"/>
    <hyperlink ref="H22" location="hh_fn_LOOKUP" display="function," xr:uid="{00000000-0004-0000-3E00-000014000000}"/>
    <hyperlink ref="I22" location="hh_fn_OFFSET" display="hh_fn_OFFSET" xr:uid="{00000000-0004-0000-3E00-000015000000}"/>
    <hyperlink ref="H37" location="hh_OFFSET_f_args" display="five argument form" xr:uid="{00000000-0004-0000-3E00-000016000000}"/>
    <hyperlink ref="H101" location="hh_fn_SUM" display="function" xr:uid="{00000000-0004-0000-3E00-000017000000}"/>
    <hyperlink ref="I101" location="hh_fn_SUM" display="hh_fn_SUM" xr:uid="{00000000-0004-0000-3E00-000018000000}"/>
    <hyperlink ref="H129" location="hh_fn_VLOOKUP" display="function" xr:uid="{00000000-0004-0000-3E00-000019000000}"/>
    <hyperlink ref="I129" location="hh_fn_VLOOKUP" display="hh_fn_VLOOKUP" xr:uid="{00000000-0004-0000-3E00-00001A000000}"/>
    <hyperlink ref="D52" location="hh_Valuing_Option" display="valuing option" xr:uid="{00000000-0004-0000-3E00-00001B000000}"/>
    <hyperlink ref="E52" location="hh_Valuing_Option" display="hh_Valuing_Option" xr:uid="{00000000-0004-0000-3E00-00001C000000}"/>
    <hyperlink ref="H44" location="hh_Valuing_Option" display="valuing" xr:uid="{00000000-0004-0000-3E00-00001D000000}"/>
    <hyperlink ref="H119" location="hh_Valuing_Option" display="option" xr:uid="{00000000-0004-0000-3E00-00001E000000}"/>
    <hyperlink ref="I119" location="hh_Valuing_Option" display="hh_Valuing_Option" xr:uid="{00000000-0004-0000-3E00-00001F000000}"/>
    <hyperlink ref="H116" location="hh_ratesensitising" display="cash flows, debt" xr:uid="{00000000-0004-0000-3E00-000020000000}"/>
    <hyperlink ref="I116" location="hh_ratesensitising" display="hh_ratesensitising" xr:uid="{00000000-0004-0000-3E00-000021000000}"/>
    <hyperlink ref="H117" location="hh_scenario_analysing" display="equity, enterprise" xr:uid="{00000000-0004-0000-3E00-000022000000}"/>
    <hyperlink ref="I117" location="hh_scenario_analysing" display="hh_scenario_analysing" xr:uid="{00000000-0004-0000-3E00-000023000000}"/>
    <hyperlink ref="H91" location="hh_ratesensitising" display="to interest rates" xr:uid="{00000000-0004-0000-3E00-000024000000}"/>
    <hyperlink ref="I91" location="hh_ratesensitising" display="hh_ratesensitising" xr:uid="{00000000-0004-0000-3E00-000025000000}"/>
    <hyperlink ref="H92" location="hh_sensitising_value" display="to value drivers" xr:uid="{00000000-0004-0000-3E00-000026000000}"/>
    <hyperlink ref="I92" location="hh_sensitising_value" display="hh_sensitising_value" xr:uid="{00000000-0004-0000-3E00-000027000000}"/>
    <hyperlink ref="H80" location="hh_scenario_analysing" display="sample application" xr:uid="{00000000-0004-0000-3E00-000028000000}"/>
    <hyperlink ref="I80" location="hh_scenario_analysing" display="hh_scenario_analysing" xr:uid="{00000000-0004-0000-3E00-000029000000}"/>
    <hyperlink ref="H81" location="hh_choose_scenario" display="using CHOOSE function" xr:uid="{00000000-0004-0000-3E00-00002A000000}"/>
    <hyperlink ref="I81" location="hh_choose_scenario" display="hh_choose_scenario" xr:uid="{00000000-0004-0000-3E00-00002B000000}"/>
    <hyperlink ref="H82" location="hh_offset_scenario" display="using OFFSET function" xr:uid="{00000000-0004-0000-3E00-00002C000000}"/>
    <hyperlink ref="I82" location="hh_offset_scenario" display="hh_offset_scenario" xr:uid="{00000000-0004-0000-3E00-00002D000000}"/>
    <hyperlink ref="D106" location="hh_rounding" display="ROUND," xr:uid="{00000000-0004-0000-3E00-00002E000000}"/>
    <hyperlink ref="E106" location="hh_rounding" display="hh_rounding" xr:uid="{00000000-0004-0000-3E00-00002F000000}"/>
    <hyperlink ref="I56" location="hh_rounding" display="hh_rounding" xr:uid="{00000000-0004-0000-3E00-000030000000}"/>
    <hyperlink ref="H56" location="hh_rounding" display="function" xr:uid="{00000000-0004-0000-3E00-000031000000}"/>
    <hyperlink ref="D11" location="hh_aggregating" display="sample application" xr:uid="{00000000-0004-0000-3E00-000032000000}"/>
    <hyperlink ref="E11" location="hh_aggregating" display="hh_aggregating" xr:uid="{00000000-0004-0000-3E00-000033000000}"/>
    <hyperlink ref="H65" location="hh_aggregating" display="aggregating" xr:uid="{00000000-0004-0000-3E00-000034000000}"/>
    <hyperlink ref="I65" location="hh_aggregating" display="hh_aggregating" xr:uid="{00000000-0004-0000-3E00-000035000000}"/>
    <hyperlink ref="H67" location="hh_Averaging" display="averaging" xr:uid="{00000000-0004-0000-3E00-000036000000}"/>
    <hyperlink ref="I67" location="hh_Averaging" display="hh_Averaging" xr:uid="{00000000-0004-0000-3E00-000037000000}"/>
    <hyperlink ref="D21" location="hh_Averaging" display="sample application" xr:uid="{00000000-0004-0000-3E00-000038000000}"/>
    <hyperlink ref="E21" location="hh_Averaging" display="hh_Averaging" xr:uid="{00000000-0004-0000-3E00-000039000000}"/>
    <hyperlink ref="H68" location="hh_charting" display="charting" xr:uid="{00000000-0004-0000-3E00-00003A000000}"/>
    <hyperlink ref="I68" location="hh_charting" display="hh_charting" xr:uid="{00000000-0004-0000-3E00-00003B000000}"/>
    <hyperlink ref="D27" location="hh_charting" display="sample application" xr:uid="{00000000-0004-0000-3E00-00003C000000}"/>
    <hyperlink ref="E27" location="hh_charting" display="hh_charting" xr:uid="{00000000-0004-0000-3E00-00003D000000}"/>
    <hyperlink ref="H70" location="hh_Highlighting" display="highlighting" xr:uid="{00000000-0004-0000-3E00-00003E000000}"/>
    <hyperlink ref="I70" location="hh_Highlighting" display="hh_Highlighting" xr:uid="{00000000-0004-0000-3E00-00003F000000}"/>
    <hyperlink ref="D116" location="hh_Highlighting" display="sample application" xr:uid="{00000000-0004-0000-3E00-000040000000}"/>
    <hyperlink ref="E116" location="hh_Highlighting" display="hh_Highlighting" xr:uid="{00000000-0004-0000-3E00-000041000000}"/>
    <hyperlink ref="H71" location="hh_interpolating" display="interpolating" xr:uid="{00000000-0004-0000-3E00-000042000000}"/>
    <hyperlink ref="I71" location="hh_interpolating" display="hh_interpolating" xr:uid="{00000000-0004-0000-3E00-000043000000}"/>
    <hyperlink ref="E127" location="hh_interp_stepped" display="hh_interp_stepped" xr:uid="{00000000-0004-0000-3E00-000044000000}"/>
    <hyperlink ref="D127" location="hh_interp_stepped" display="stepped" xr:uid="{00000000-0004-0000-3E00-000045000000}"/>
    <hyperlink ref="E126" location="hh_piecewise_linear" display="hh_piecewise_linear" xr:uid="{00000000-0004-0000-3E00-000046000000}"/>
    <hyperlink ref="D126" location="hh_piecewise_linear" display="piecewise linear" xr:uid="{00000000-0004-0000-3E00-000047000000}"/>
    <hyperlink ref="E124" location="hh_cubic_spline" display="hh_cubic_spline" xr:uid="{00000000-0004-0000-3E00-000048000000}"/>
    <hyperlink ref="D124" location="hh_cubic_spline" display="cubic spline, curved" xr:uid="{00000000-0004-0000-3E00-000049000000}"/>
    <hyperlink ref="E128" location="hh_interp_stat" display="hh_interp_stat" xr:uid="{00000000-0004-0000-3E00-00004A000000}"/>
    <hyperlink ref="D128" location="hh_interp_stat" display="statistical" xr:uid="{00000000-0004-0000-3E00-00004B000000}"/>
    <hyperlink ref="H19" location="hh_Looking_Up" display="sample application" xr:uid="{00000000-0004-0000-3E00-00004C000000}"/>
    <hyperlink ref="I19" location="hh_Looking_Up" display="hh_Looking_Up" xr:uid="{00000000-0004-0000-3E00-00004D000000}"/>
    <hyperlink ref="H72" location="hh_Looking_Up" display="looking up" xr:uid="{00000000-0004-0000-3E00-00004E000000}"/>
    <hyperlink ref="I72" location="hh_Looking_Up" display="hh_Looking_Up" xr:uid="{00000000-0004-0000-3E00-00004F000000}"/>
    <hyperlink ref="H73" location="hh_prioritising" display="prioritising" xr:uid="{00000000-0004-0000-3E00-000050000000}"/>
    <hyperlink ref="I73" location="hh_prioritising" display="hh_prioritising" xr:uid="{00000000-0004-0000-3E00-000051000000}"/>
    <hyperlink ref="I59" location="hh_prioritising" display="hh_prioritising" xr:uid="{00000000-0004-0000-3E00-000052000000}"/>
    <hyperlink ref="H59" location="hh_prioritising" display="sample application" xr:uid="{00000000-0004-0000-3E00-000053000000}"/>
    <hyperlink ref="H62" location="hh_ranking" display="sample application" xr:uid="{00000000-0004-0000-3E00-000054000000}"/>
    <hyperlink ref="I62" location="hh_ranking" display="hh_ranking" xr:uid="{00000000-0004-0000-3E00-000055000000}"/>
    <hyperlink ref="H74" location="hh_ranking" display="ranking" xr:uid="{00000000-0004-0000-3E00-000056000000}"/>
    <hyperlink ref="I74" location="hh_ranking" display="hh_ranking" xr:uid="{00000000-0004-0000-3E00-000057000000}"/>
    <hyperlink ref="H66" location="hh_scenario_analysing" display="attributing" xr:uid="{00000000-0004-0000-3E00-000058000000}"/>
    <hyperlink ref="I66" location="hh_scenario_analysing" display="hh_scenario_analysing" xr:uid="{00000000-0004-0000-3E00-000059000000}"/>
    <hyperlink ref="D14" location="hh_scenario_analysing" display="sample application" xr:uid="{00000000-0004-0000-3E00-00005A000000}"/>
    <hyperlink ref="E14" location="Indexx!A1" display="Indexx!A1" xr:uid="{00000000-0004-0000-3E00-00005B000000}"/>
    <hyperlink ref="I75" location="hh_scenario_analysing" display="hh_scenario_analysing" xr:uid="{00000000-0004-0000-3E00-00005C000000}"/>
    <hyperlink ref="H75" location="hh_scenario_analysing" display="scenario analysing" xr:uid="{00000000-0004-0000-3E00-00005D000000}"/>
    <hyperlink ref="I76" location="hh_scheduling" display="hh_scheduling" xr:uid="{00000000-0004-0000-3E00-00005E000000}"/>
    <hyperlink ref="H76" location="hh_scheduling" display="scheduling" xr:uid="{00000000-0004-0000-3E00-00005F000000}"/>
    <hyperlink ref="I85" location="hh_scheduling" display="hh_scheduling" xr:uid="{00000000-0004-0000-3E00-000060000000}"/>
    <hyperlink ref="H85" location="hh_scheduling" display="sample application" xr:uid="{00000000-0004-0000-3E00-000061000000}"/>
    <hyperlink ref="H88" location="hh_seasonalising" display="sample application" xr:uid="{00000000-0004-0000-3E00-000062000000}"/>
    <hyperlink ref="I88" location="hh_seasonalising" display="hh_seasonalising" xr:uid="{00000000-0004-0000-3E00-000063000000}"/>
    <hyperlink ref="H77" location="hh_seasonalising" display="seasonalising" xr:uid="{00000000-0004-0000-3E00-000064000000}"/>
    <hyperlink ref="I77" location="hh_seasonalising" display="hh_seasonalising" xr:uid="{00000000-0004-0000-3E00-000065000000}"/>
    <hyperlink ref="I126" location="hh_VBing" display="hh_VBing" xr:uid="{00000000-0004-0000-3E00-000066000000}"/>
    <hyperlink ref="H126" location="hh_VBing" display="workshop on" xr:uid="{00000000-0004-0000-3E00-000067000000}"/>
    <hyperlink ref="I125" location="hh_VBing" display="hh_VBing" xr:uid="{00000000-0004-0000-3E00-000068000000}"/>
    <hyperlink ref="H125" location="hh_VBing" display="about" xr:uid="{00000000-0004-0000-3E00-000069000000}"/>
    <hyperlink ref="E73" location="hh_Ex_1" display="hh_Ex_1" xr:uid="{00000000-0004-0000-3E00-00006A000000}"/>
    <hyperlink ref="D73" location="hh_Ex_1" display="on compound IF " xr:uid="{00000000-0004-0000-3E00-00006B000000}"/>
    <hyperlink ref="E76" location="hh_Ex_2" display="hh_Ex_2" xr:uid="{00000000-0004-0000-3E00-00006C000000}"/>
    <hyperlink ref="D76" location="Indexx!A1" display="on interpolating" xr:uid="{00000000-0004-0000-3E00-00006D000000}"/>
    <hyperlink ref="E125" location="hh_Ex_2" display="hh_Ex_2" xr:uid="{00000000-0004-0000-3E00-00006E000000}"/>
    <hyperlink ref="D125" location="hh_Ex_2" display="exercise on" xr:uid="{00000000-0004-0000-3E00-00006F000000}"/>
    <hyperlink ref="H118" location="hh_scenario_analysing" display="equity, enterprise" xr:uid="{00000000-0004-0000-3E00-000070000000}"/>
    <hyperlink ref="I118" location="hh_sensitising_value" display="hh_sensitising_value" xr:uid="{00000000-0004-0000-3E00-000071000000}"/>
    <hyperlink ref="E83" location="hh_filtering" display="hh_filtering" xr:uid="{00000000-0004-0000-3E00-000072000000}"/>
    <hyperlink ref="D83" location="hh_filtering" display="sample application" xr:uid="{00000000-0004-0000-3E00-000073000000}"/>
    <hyperlink ref="I69" location="hh_filtering" display="hh_filtering" xr:uid="{00000000-0004-0000-3E00-000074000000}"/>
    <hyperlink ref="H69" location="hh_filtering" display="filtering" xr:uid="{00000000-0004-0000-3E00-000075000000}"/>
    <hyperlink ref="I122" location="hh_book_version" display="hh_book_version" xr:uid="{00000000-0004-0000-3E00-000076000000}"/>
    <hyperlink ref="H122" location="hh_book_version" display="of this book" xr:uid="{00000000-0004-0000-3E00-000077000000}"/>
    <hyperlink ref="E24" location="hh_book_version" display="hh_book_version" xr:uid="{00000000-0004-0000-3E00-000078000000}"/>
    <hyperlink ref="D24" location="hh_book_version" display="version of" xr:uid="{00000000-0004-0000-3E00-000079000000}"/>
    <hyperlink ref="E49" location="hh_index" display="hh_index" xr:uid="{00000000-0004-0000-3E00-00007A000000}"/>
    <hyperlink ref="D49" location="hh_index" display="table of contents" xr:uid="{00000000-0004-0000-3E00-00007B000000}"/>
    <hyperlink ref="E70" location="hh_highlight_dups" display="hh_highlight_dups" xr:uid="{00000000-0004-0000-3E00-00007C000000}"/>
    <hyperlink ref="D70" location="hh_highlight_dups" display="highlighting" xr:uid="{00000000-0004-0000-3E00-00007D000000}"/>
    <hyperlink ref="E115" location="hh_highlight_dups" display="hh_highlight_dups" xr:uid="{00000000-0004-0000-3E00-00007E000000}"/>
    <hyperlink ref="D115" location="hh_highlight_dups" display="duplicates" xr:uid="{00000000-0004-0000-3E00-00007F000000}"/>
    <hyperlink ref="H39" location="hh_OFFSET_3_args" display="three argument form" xr:uid="{00000000-0004-0000-3E00-000080000000}"/>
    <hyperlink ref="I37" location="hh_OFFSET_f_args" display="hh_OFFSET_f_args" xr:uid="{00000000-0004-0000-3E00-000081000000}"/>
    <hyperlink ref="I39" location="hh_OFFSET_3_args" display="hh_OFFSET_3_args" xr:uid="{00000000-0004-0000-3E00-000082000000}"/>
    <hyperlink ref="I38" location="hh_OFFSET_p_n" display="hh_OFFSET_p_n" xr:uid="{00000000-0004-0000-3E00-000083000000}"/>
    <hyperlink ref="H38" location="hh_OFFSET_p_n" display="negative arguments" xr:uid="{00000000-0004-0000-3E00-000084000000}"/>
    <hyperlink ref="I44" location="hh_Valuing_Option" display="hh_Valuing_Option" xr:uid="{00000000-0004-0000-3E00-000085000000}"/>
    <hyperlink ref="I40" location="hh_offset_scenario" display="hh_offset_scenario" xr:uid="{00000000-0004-0000-3E00-000086000000}"/>
    <hyperlink ref="H40" location="hh_offset_scenario" display="used for scenarios" xr:uid="{00000000-0004-0000-3E00-000087000000}"/>
    <hyperlink ref="E31" location="hh_choose_scenario" display="hh_choose_scenario" xr:uid="{00000000-0004-0000-3E00-000088000000}"/>
    <hyperlink ref="D31" location="hh_choose_scenario" display="used for scenarios" xr:uid="{00000000-0004-0000-3E00-000089000000}"/>
    <hyperlink ref="I102" location="hh_SUM_diffs" display="hh_SUM_diffs" xr:uid="{00000000-0004-0000-3E00-00008A000000}"/>
    <hyperlink ref="H102" location="hh_SUM_diffs" display="differences to addition" xr:uid="{00000000-0004-0000-3E00-00008B000000}"/>
    <hyperlink ref="D94" location="hh_fn_ISNA" display="ISNA" xr:uid="{00000000-0004-0000-3E00-00008C000000}"/>
    <hyperlink ref="E94" location="hh_fn_ISNA" display="hh_fn_ISNA" xr:uid="{00000000-0004-0000-3E00-00008D000000}"/>
    <hyperlink ref="D131" location="hh_fn_ISNA" display="function" xr:uid="{00000000-0004-0000-3E00-00008E000000}"/>
    <hyperlink ref="E131" location="hh_fn_ISNA" display="hh_fn_ISNA" xr:uid="{00000000-0004-0000-3E00-00008F000000}"/>
    <hyperlink ref="D87" location="hh_fn_AND" display="AND" xr:uid="{00000000-0004-0000-3E00-000090000000}"/>
    <hyperlink ref="E87" location="hh_fn_AND" display="hh_fn_AND" xr:uid="{00000000-0004-0000-3E00-000091000000}"/>
    <hyperlink ref="E104" location="hh_fn_OR" display="hh_fn_OR" xr:uid="{00000000-0004-0000-3E00-000092000000}"/>
    <hyperlink ref="D104" location="hh_fn_OR" display="OR" xr:uid="{00000000-0004-0000-3E00-000093000000}"/>
    <hyperlink ref="D8" location="hh_fn_AND" display="function" xr:uid="{00000000-0004-0000-3E00-000094000000}"/>
    <hyperlink ref="E8" location="hh_fn_AND" display="hh_fn_AND" xr:uid="{00000000-0004-0000-3E00-000095000000}"/>
    <hyperlink ref="H47" location="hh_fn_OR" display="function" xr:uid="{00000000-0004-0000-3E00-000096000000}"/>
    <hyperlink ref="I47" location="hh_fn_OR" display="hh_fn_OR" xr:uid="{00000000-0004-0000-3E00-000097000000}"/>
    <hyperlink ref="E5" location="hh_fn_ABS" display="hh_fn_ABS" xr:uid="{00000000-0004-0000-3E00-000098000000}"/>
    <hyperlink ref="D5" location="hh_fn_ABS" display="function" xr:uid="{00000000-0004-0000-3E00-000099000000}"/>
    <hyperlink ref="E86" location="hh_fn_ABS" display="hh_fn_ABS" xr:uid="{00000000-0004-0000-3E00-00009A000000}"/>
    <hyperlink ref="D86" location="hh_fn_ABS" display="ABS" xr:uid="{00000000-0004-0000-3E00-00009B000000}"/>
    <hyperlink ref="D58" location="hh_fn_COUNT" display="function" xr:uid="{00000000-0004-0000-3E00-00009C000000}"/>
    <hyperlink ref="E58" location="hh_fn_COUNT" display="hh_fn_COUNT" xr:uid="{00000000-0004-0000-3E00-00009D000000}"/>
    <hyperlink ref="D91" location="hh_fn_COUNT" display="COUNT" xr:uid="{00000000-0004-0000-3E00-00009E000000}"/>
    <hyperlink ref="E91" location="hh_fn_COUNT" display="hh_fn_COUNT" xr:uid="{00000000-0004-0000-3E00-00009F000000}"/>
    <hyperlink ref="D92" location="hh_fn_COUNTIF" display="COUNTIF" xr:uid="{00000000-0004-0000-3E00-0000A0000000}"/>
    <hyperlink ref="E92" location="hh_fn_COUNTIF" display="hh_fn_COUNTIF" xr:uid="{00000000-0004-0000-3E00-0000A1000000}"/>
    <hyperlink ref="E63" location="hh_fn_COUNTIF" display="hh_fn_COUNTIF" xr:uid="{00000000-0004-0000-3E00-0000A2000000}"/>
    <hyperlink ref="D63" location="hh_fn_COUNTIF" display="function" xr:uid="{00000000-0004-0000-3E00-0000A3000000}"/>
    <hyperlink ref="D99" location="hh_fn_MATCH" display="MATCH" xr:uid="{00000000-0004-0000-3E00-0000A4000000}"/>
    <hyperlink ref="E99" location="hh_fn_MATCH" display="hh_fn_MATCH" xr:uid="{00000000-0004-0000-3E00-0000A5000000}"/>
    <hyperlink ref="H25" location="hh_fn_MATCH" display="function" xr:uid="{00000000-0004-0000-3E00-0000A6000000}"/>
    <hyperlink ref="I25" location="hh_fn_MATCH" display="hh_fn_MATCH" xr:uid="{00000000-0004-0000-3E00-0000A7000000}"/>
    <hyperlink ref="H28" location="hh_fn_MAX" display="function" xr:uid="{00000000-0004-0000-3E00-0000A8000000}"/>
    <hyperlink ref="I28" location="hh_fn_MAX" display="hh_fn_MAX" xr:uid="{00000000-0004-0000-3E00-0000A9000000}"/>
    <hyperlink ref="D100" location="hh_fn_MAX" display="MAX" xr:uid="{00000000-0004-0000-3E00-0000AA000000}"/>
    <hyperlink ref="E100" location="hh_fn_MAX" display="hh_fn_MAX" xr:uid="{00000000-0004-0000-3E00-0000AB000000}"/>
    <hyperlink ref="D102" location="hh_fn_MIN" display="MIN" xr:uid="{00000000-0004-0000-3E00-0000AC000000}"/>
    <hyperlink ref="E102" location="hh_fn_MIN" display="hh_fn_MIN" xr:uid="{00000000-0004-0000-3E00-0000AD000000}"/>
    <hyperlink ref="H34" location="hh_fn_MIN" display="function" xr:uid="{00000000-0004-0000-3E00-0000AE000000}"/>
    <hyperlink ref="I34" location="hh_fn_MIN" display="hh_fn_MIN" xr:uid="{00000000-0004-0000-3E00-0000AF000000}"/>
    <hyperlink ref="D88" location="hh_fn_AVERAGE" display="AVERAGE" xr:uid="{00000000-0004-0000-3E00-0000B0000000}"/>
    <hyperlink ref="E88" location="hh_fn_AVERAGE" display="hh_fn_AVERAGE" xr:uid="{00000000-0004-0000-3E00-0000B1000000}"/>
    <hyperlink ref="D17" location="hh_fn_AVERAGE" display="function" xr:uid="{00000000-0004-0000-3E00-0000B2000000}"/>
    <hyperlink ref="E17" location="hh_fn_AVERAGE" display="hh_fn_AVERAGE" xr:uid="{00000000-0004-0000-3E00-0000B3000000}"/>
    <hyperlink ref="D95" location="hh_fn_LARGE" display="LARGE" xr:uid="{00000000-0004-0000-3E00-0000B4000000}"/>
    <hyperlink ref="E95" location="hh_fn_LARGE" display="hh_fn_LARGE" xr:uid="{00000000-0004-0000-3E00-0000B5000000}"/>
    <hyperlink ref="H5" location="hh_fn_LARGE" display="function" xr:uid="{00000000-0004-0000-3E00-0000B6000000}"/>
    <hyperlink ref="I5" location="hh_fn_LARGE" display="hh_fn_LARGE" xr:uid="{00000000-0004-0000-3E00-0000B7000000}"/>
    <hyperlink ref="H9" location="hh_fn_LEFT" display="function" xr:uid="{00000000-0004-0000-3E00-0000B8000000}"/>
    <hyperlink ref="I9" location="hh_fn_LEFT" display="hh_fn_LEFT" xr:uid="{00000000-0004-0000-3E00-0000B9000000}"/>
    <hyperlink ref="D96" location="hh_fn_LEFT" display="LEFT" xr:uid="{00000000-0004-0000-3E00-0000BA000000}"/>
    <hyperlink ref="E96" location="Indexx!A1" display="Indexx!A1" xr:uid="{00000000-0004-0000-3E00-0000BB000000}"/>
    <hyperlink ref="D105" location="hh_fn_RIGHT" display="RIGHT" xr:uid="{00000000-0004-0000-3E00-0000BC000000}"/>
    <hyperlink ref="E105" location="hh_fn_RIGHT" display="hh_fn_RIGHT" xr:uid="{00000000-0004-0000-3E00-0000BD000000}"/>
    <hyperlink ref="I53" location="hh_fn_RIGHT" display="hh_fn_RIGHT" xr:uid="{00000000-0004-0000-3E00-0000BE000000}"/>
    <hyperlink ref="H53" location="hh_fn_RIGHT" display="function" xr:uid="{00000000-0004-0000-3E00-0000BF000000}"/>
    <hyperlink ref="I106" location="hh_fn_SUMPRODUCT" display="hh_fn_SUMPRODUCT" xr:uid="{00000000-0004-0000-3E00-0000C0000000}"/>
    <hyperlink ref="H106" location="hh_fn_SUMPRODUCT" display="function" xr:uid="{00000000-0004-0000-3E00-0000C1000000}"/>
    <hyperlink ref="D108" location="hm_fn_SUMPRODUCT" display="SUMPRODUCT" xr:uid="{00000000-0004-0000-3E00-0000C2000000}"/>
    <hyperlink ref="E108" location="hh_fn_SUMPRODUCT" display="hh_fn_SUMPRODUCT" xr:uid="{00000000-0004-0000-3E00-0000C3000000}"/>
    <hyperlink ref="E120" location="hh_IF_compound" display="hh_IF_compound" xr:uid="{00000000-0004-0000-3E00-0000C4000000}"/>
    <hyperlink ref="D120" location="hh_IF_compound" display="compound" xr:uid="{00000000-0004-0000-3E00-0000C5000000}"/>
    <hyperlink ref="D37" location="hh_IF_compound" display="IF - exercise" xr:uid="{00000000-0004-0000-3E00-0000C6000000}"/>
    <hyperlink ref="E74" location="hh_Ex_3" display="hh_Ex_3" xr:uid="{00000000-0004-0000-3E00-0000C7000000}"/>
    <hyperlink ref="D74" location="hh_Ex_3" display="on conditional counting" xr:uid="{00000000-0004-0000-3E00-0000C8000000}"/>
    <hyperlink ref="D43" location="hh_Ex_3" display="Counting" xr:uid="{00000000-0004-0000-3E00-0000C9000000}"/>
    <hyperlink ref="E43" location="hh_Ex_3" display="hh_Ex_3" xr:uid="{00000000-0004-0000-3E00-0000CA000000}"/>
    <hyperlink ref="E66" location="hh_Ex_3" display="hh_Ex_3" xr:uid="{00000000-0004-0000-3E00-0000CB000000}"/>
    <hyperlink ref="D66" location="hh_Ex_3" display="conditionally - exercise" xr:uid="{00000000-0004-0000-3E00-0000CC000000}"/>
    <hyperlink ref="D18" location="hh_offset_average" display="used with OFFSET" xr:uid="{00000000-0004-0000-3E00-0000CD000000}"/>
    <hyperlink ref="I41" location="hh_offset_scenario" display="hh_offset_scenario" xr:uid="{00000000-0004-0000-3E00-0000CE000000}"/>
    <hyperlink ref="H41" location="hh_offset_average" display="used with AVERAGE" xr:uid="{00000000-0004-0000-3E00-0000CF000000}"/>
    <hyperlink ref="E117" location="hh_highlight_topN" display="hh_highlight_topN" xr:uid="{00000000-0004-0000-3E00-0000D0000000}"/>
    <hyperlink ref="D117" location="hh_highlight_topN" display="top &quot;N&quot;" xr:uid="{00000000-0004-0000-3E00-0000D1000000}"/>
    <hyperlink ref="I113" location="hh_highlight_topN" display="hh_highlight_topN" xr:uid="{00000000-0004-0000-3E00-0000D2000000}"/>
    <hyperlink ref="H113" location="hh_highlight_topN" display="&quot;N&quot; - highlighting" xr:uid="{00000000-0004-0000-3E00-0000D3000000}"/>
    <hyperlink ref="E46" location="hh_AND_logical" display="hh_AND_logical" xr:uid="{00000000-0004-0000-3E00-0000D4000000}"/>
    <hyperlink ref="D46" location="hh_AND_logical" display="Logical" xr:uid="{00000000-0004-0000-3E00-0000D5000000}"/>
    <hyperlink ref="I16" location="hh_AND_logical" display="hh_AND_logical" xr:uid="{00000000-0004-0000-3E00-0000D6000000}"/>
    <hyperlink ref="H16" location="hh_AND_logical" display="conditions and tests" xr:uid="{00000000-0004-0000-3E00-0000D7000000}"/>
    <hyperlink ref="I110" location="hh_AND_logical" display="hh_AND_logical" xr:uid="{00000000-0004-0000-3E00-0000D8000000}"/>
    <hyperlink ref="H110" location="hh_AND_logical" display="logical" xr:uid="{00000000-0004-0000-3E00-0000D9000000}"/>
    <hyperlink ref="E62" location="hh_Ex_3" display="hh_Ex_3" xr:uid="{00000000-0004-0000-3E00-0000DA000000}"/>
    <hyperlink ref="D62" location="hh_Ex_3" display="conditional count exercise" xr:uid="{00000000-0004-0000-3E00-0000DB000000}"/>
    <hyperlink ref="I98" location="hh_Ex_Status" display="hh_Ex_Status" xr:uid="{00000000-0004-0000-3E00-0000DC000000}"/>
    <hyperlink ref="H98" location="hh_Ex_Status" display="of exercises completed" xr:uid="{00000000-0004-0000-3E00-0000DD000000}"/>
    <hyperlink ref="E80" location="hh_Ex_Status" display="hh_Ex_Status" xr:uid="{00000000-0004-0000-3E00-0000DE000000}"/>
    <hyperlink ref="D80" location="hh_Ex_Status" display="status of completed" xr:uid="{00000000-0004-0000-3E00-0000DF000000}"/>
    <hyperlink ref="E77" location="hh_Ex_4" display="hh_Ex_4" xr:uid="{00000000-0004-0000-3E00-0000E0000000}"/>
    <hyperlink ref="D77" location="hh_Ex_4" display="on complex lookups" xr:uid="{00000000-0004-0000-3E00-0000E1000000}"/>
    <hyperlink ref="E34" location="hh_Ex_4" display="hh_Ex_4" xr:uid="{00000000-0004-0000-3E00-0000E2000000}"/>
    <hyperlink ref="D34" location="hh_Ex_4" display="lookups - exercise" xr:uid="{00000000-0004-0000-3E00-0000E3000000}"/>
    <hyperlink ref="E40" location="hh_COUNTIF_concat" display="hh_COUNTIF_concat" xr:uid="{00000000-0004-0000-3E00-0000E4000000}"/>
    <hyperlink ref="D40" location="hh_COUNTIF_concat" display="used with COUNTIF" xr:uid="{00000000-0004-0000-3E00-0000E5000000}"/>
    <hyperlink ref="E61" location="hh_COUNTIF_concat" display="hh_COUNTIF_concat" xr:uid="{00000000-0004-0000-3E00-0000E6000000}"/>
    <hyperlink ref="D61" location="hh_COUNTIF_concat" display="with concatenation operator" xr:uid="{00000000-0004-0000-3E00-0000E7000000}"/>
    <hyperlink ref="I6" location="hh_LARGE_quartile" display="hh_LARGE_quartile" xr:uid="{00000000-0004-0000-3E00-0000E8000000}"/>
    <hyperlink ref="H6" location="hh_LARGE_quartile" display="used to calculate quartiles" xr:uid="{00000000-0004-0000-3E00-0000E9000000}"/>
    <hyperlink ref="I50" location="hh_LARGE_quartile" display="hh_LARGE_quartile" xr:uid="{00000000-0004-0000-3E00-0000EA000000}"/>
    <hyperlink ref="H50" location="hh_LARGE_quartile" display="using LARGE to calculate" xr:uid="{00000000-0004-0000-3E00-0000EB000000}"/>
    <hyperlink ref="I95" location="hh_LARGE_sort" display="hh_LARGE_sort" xr:uid="{00000000-0004-0000-3E00-0000EC000000}"/>
    <hyperlink ref="H95" location="hh_LARGE_sort" display="by using LARGE function" xr:uid="{00000000-0004-0000-3E00-0000ED000000}"/>
    <hyperlink ref="E67" location="hh_Combine_2" display="hh_Combine_2" xr:uid="{00000000-0004-0000-3E00-0000EE000000}"/>
    <hyperlink ref="D67" location="hh_Combine_2" display="complex - using SUMPRODUCT" xr:uid="{00000000-0004-0000-3E00-0000EF000000}"/>
    <hyperlink ref="I105" location="hh_Combine_2" display="hh_Combine_2" xr:uid="{00000000-0004-0000-3E00-0000F0000000}"/>
    <hyperlink ref="H105" location="hh_Combine_2" display="used in complex counting" xr:uid="{00000000-0004-0000-3E00-0000F1000000}"/>
    <hyperlink ref="I10" location="hh_Combine_2" display="hh_Combine_2" xr:uid="{00000000-0004-0000-3E00-0000F2000000}"/>
    <hyperlink ref="H10" location="hh_Combine_2" display="used in complex counting" xr:uid="{00000000-0004-0000-3E00-0000F3000000}"/>
    <hyperlink ref="E112" location="hh_SUMPRODUCT_group" display="hh_SUMPRODUCT_group" xr:uid="{00000000-0004-0000-3E00-0000F4000000}"/>
    <hyperlink ref="D112" location="hh_SUMPRODUCT_group" display="by date - SUMPRODUCT" xr:uid="{00000000-0004-0000-3E00-0000F5000000}"/>
    <hyperlink ref="I107" location="hh_SUMPRODUCT_group" display="hh_SUMPRODUCT_group" xr:uid="{00000000-0004-0000-3E00-0000F6000000}"/>
    <hyperlink ref="H107" location="hh_SUMPRODUCT_group" display="grouping by date" xr:uid="{00000000-0004-0000-3E00-0000F7000000}"/>
    <hyperlink ref="H31" location="hh_fn_MID" display="function" xr:uid="{00000000-0004-0000-3E00-0000F8000000}"/>
    <hyperlink ref="I31" location="hh_fn_MID" display="hh_fn_MID" xr:uid="{00000000-0004-0000-3E00-0000F9000000}"/>
    <hyperlink ref="I13" location="hh_fn_LEN" display="hh_fn_LEN" xr:uid="{00000000-0004-0000-3E00-0000FA000000}"/>
    <hyperlink ref="H13" location="hh_fn_LEN" display="function" xr:uid="{00000000-0004-0000-3E00-0000FB000000}"/>
    <hyperlink ref="D101" location="hh_fn_MID" display="MID" xr:uid="{00000000-0004-0000-3E00-0000FC000000}"/>
    <hyperlink ref="E101" location="hh_fn_MID" display="hh_fn_MID" xr:uid="{00000000-0004-0000-3E00-0000FD000000}"/>
    <hyperlink ref="D97" location="hh_fn_LEN" display="LEN" xr:uid="{00000000-0004-0000-3E00-0000FE000000}"/>
    <hyperlink ref="E97" location="hh_fn_LEN" display="hh_fn_LEN" xr:uid="{00000000-0004-0000-3E00-0000FF000000}"/>
    <hyperlink ref="E75" location="hh_Ex_Acc_Bal" display="hh_Ex_Acc_Bal" xr:uid="{00000000-0004-0000-3E00-000000010000}"/>
    <hyperlink ref="D75" location="hh_Ex_Acc_Bal" display="on tracking cash flows" xr:uid="{00000000-0004-0000-3E00-000001010000}"/>
    <hyperlink ref="I135:J135" location="hh_index" display="hh_index" xr:uid="{00000000-0004-0000-3E00-000002010000}"/>
    <hyperlink ref="C135:D135" location="hh_index" display="hh_index" xr:uid="{00000000-0004-0000-3E00-000003010000}"/>
    <hyperlink ref="D138:J138" r:id="rId1" display="www.tykoh.com" xr:uid="{00000000-0004-0000-3E00-000004010000}"/>
  </hyperlinks>
  <pageMargins left="0.75" right="0.75" top="1" bottom="1" header="0.5" footer="0.5"/>
  <pageSetup fitToHeight="2" orientation="portrait" r:id="rId2"/>
  <headerFooter alignWithMargins="0"/>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6"/>
  <dimension ref="A1:E19"/>
  <sheetViews>
    <sheetView showGridLines="0" showRowColHeaders="0" topLeftCell="A4" workbookViewId="0"/>
  </sheetViews>
  <sheetFormatPr defaultRowHeight="12.5"/>
  <cols>
    <col min="1" max="2" width="1" customWidth="1"/>
    <col min="3" max="3" width="28.54296875" bestFit="1" customWidth="1"/>
  </cols>
  <sheetData>
    <row r="1" spans="1:5">
      <c r="A1" t="s">
        <v>1563</v>
      </c>
      <c r="C1" t="s">
        <v>1440</v>
      </c>
      <c r="D1">
        <v>889</v>
      </c>
      <c r="E1">
        <f>889-D1</f>
        <v>0</v>
      </c>
    </row>
    <row r="2" spans="1:5">
      <c r="A2" t="s">
        <v>1548</v>
      </c>
      <c r="C2" t="s">
        <v>767</v>
      </c>
      <c r="D2">
        <v>889</v>
      </c>
      <c r="E2">
        <f t="shared" ref="E2:E19" si="0">889-D2</f>
        <v>0</v>
      </c>
    </row>
    <row r="3" spans="1:5">
      <c r="A3" t="s">
        <v>1571</v>
      </c>
      <c r="C3" t="s">
        <v>1359</v>
      </c>
      <c r="D3">
        <v>889</v>
      </c>
      <c r="E3">
        <f t="shared" si="0"/>
        <v>0</v>
      </c>
    </row>
    <row r="4" spans="1:5">
      <c r="A4" t="s">
        <v>1502</v>
      </c>
      <c r="C4" t="s">
        <v>1384</v>
      </c>
      <c r="D4" s="6">
        <v>889</v>
      </c>
      <c r="E4">
        <f t="shared" si="0"/>
        <v>0</v>
      </c>
    </row>
    <row r="5" spans="1:5">
      <c r="A5" t="s">
        <v>1569</v>
      </c>
      <c r="C5" t="s">
        <v>1385</v>
      </c>
      <c r="D5" s="6">
        <v>889</v>
      </c>
      <c r="E5">
        <f t="shared" si="0"/>
        <v>0</v>
      </c>
    </row>
    <row r="6" spans="1:5">
      <c r="A6" t="s">
        <v>1549</v>
      </c>
      <c r="C6" t="s">
        <v>1386</v>
      </c>
      <c r="D6" s="6">
        <v>889</v>
      </c>
      <c r="E6">
        <f t="shared" si="0"/>
        <v>0</v>
      </c>
    </row>
    <row r="7" spans="1:5">
      <c r="A7" t="s">
        <v>1540</v>
      </c>
      <c r="C7" t="s">
        <v>1387</v>
      </c>
      <c r="D7" s="6">
        <v>889</v>
      </c>
      <c r="E7">
        <f t="shared" si="0"/>
        <v>0</v>
      </c>
    </row>
    <row r="8" spans="1:5">
      <c r="A8" t="s">
        <v>1570</v>
      </c>
      <c r="C8" t="s">
        <v>1360</v>
      </c>
      <c r="D8" s="6">
        <v>889</v>
      </c>
      <c r="E8">
        <f t="shared" si="0"/>
        <v>0</v>
      </c>
    </row>
    <row r="9" spans="1:5">
      <c r="A9" t="s">
        <v>1535</v>
      </c>
      <c r="C9" t="s">
        <v>1503</v>
      </c>
      <c r="D9" s="6">
        <v>889</v>
      </c>
      <c r="E9">
        <f t="shared" si="0"/>
        <v>0</v>
      </c>
    </row>
    <row r="10" spans="1:5">
      <c r="A10" t="s">
        <v>1554</v>
      </c>
      <c r="C10" t="s">
        <v>1388</v>
      </c>
      <c r="D10" s="6">
        <v>889</v>
      </c>
      <c r="E10">
        <f t="shared" si="0"/>
        <v>0</v>
      </c>
    </row>
    <row r="11" spans="1:5">
      <c r="A11" t="s">
        <v>1568</v>
      </c>
      <c r="C11" t="s">
        <v>1090</v>
      </c>
      <c r="D11" s="6">
        <v>889</v>
      </c>
      <c r="E11">
        <f t="shared" si="0"/>
        <v>0</v>
      </c>
    </row>
    <row r="12" spans="1:5">
      <c r="A12" t="s">
        <v>1547</v>
      </c>
      <c r="C12" t="s">
        <v>1091</v>
      </c>
      <c r="D12" s="6">
        <v>889</v>
      </c>
      <c r="E12">
        <f t="shared" si="0"/>
        <v>0</v>
      </c>
    </row>
    <row r="13" spans="1:5">
      <c r="C13" t="s">
        <v>1501</v>
      </c>
      <c r="D13" s="6">
        <v>889</v>
      </c>
      <c r="E13">
        <f t="shared" si="0"/>
        <v>0</v>
      </c>
    </row>
    <row r="14" spans="1:5">
      <c r="C14" t="s">
        <v>1448</v>
      </c>
      <c r="D14" s="6">
        <v>889</v>
      </c>
      <c r="E14">
        <f t="shared" si="0"/>
        <v>0</v>
      </c>
    </row>
    <row r="15" spans="1:5">
      <c r="C15" t="s">
        <v>1501</v>
      </c>
      <c r="D15" s="6">
        <v>889</v>
      </c>
      <c r="E15">
        <f t="shared" si="0"/>
        <v>0</v>
      </c>
    </row>
    <row r="16" spans="1:5">
      <c r="C16" t="s">
        <v>1448</v>
      </c>
      <c r="D16" s="6">
        <v>889</v>
      </c>
      <c r="E16">
        <f t="shared" si="0"/>
        <v>0</v>
      </c>
    </row>
    <row r="17" spans="3:5">
      <c r="C17" t="s">
        <v>1501</v>
      </c>
      <c r="D17" s="6">
        <v>889</v>
      </c>
      <c r="E17">
        <f t="shared" si="0"/>
        <v>0</v>
      </c>
    </row>
    <row r="18" spans="3:5">
      <c r="C18" t="s">
        <v>1448</v>
      </c>
      <c r="D18" s="6">
        <v>889</v>
      </c>
      <c r="E18">
        <f t="shared" si="0"/>
        <v>0</v>
      </c>
    </row>
    <row r="19" spans="3:5">
      <c r="C19" t="s">
        <v>1448</v>
      </c>
      <c r="D19">
        <v>889</v>
      </c>
      <c r="E19">
        <f t="shared" si="0"/>
        <v>0</v>
      </c>
    </row>
  </sheetData>
  <sheetProtection algorithmName="SHA-512" hashValue="LPjE+so82tdYbobDnj7DVxSFd6sk6pJrOWCBJB/7RAlx+2hpDIRZGRCzhOcXS1D9Li4VF3Iwfss1Yf5IDt6Z8Q==" saltValue="0k1MhjGAKbhO2TrDDINtYQ==" spinCount="100000" sheet="1" objects="1" scenarios="1"/>
  <phoneticPr fontId="2" type="noConversion"/>
  <conditionalFormatting sqref="D4:D18">
    <cfRule type="cellIs" dxfId="1" priority="1" stopIfTrue="1" operator="equal">
      <formula>MAX($D$4:$D$18)</formula>
    </cfRule>
    <cfRule type="cellIs" dxfId="0" priority="2" stopIfTrue="1" operator="equal">
      <formula>MIN($D$4:$D$18)</formula>
    </cfRule>
  </conditionalFormatting>
  <pageMargins left="0.75" right="0.75" top="1" bottom="1" header="0.5" footer="0.5"/>
  <pageSetup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31"/>
  <dimension ref="D1:D25"/>
  <sheetViews>
    <sheetView showRowColHeaders="0" workbookViewId="0"/>
  </sheetViews>
  <sheetFormatPr defaultRowHeight="12.5" zeroHeight="1"/>
  <cols>
    <col min="1" max="2" width="1" customWidth="1"/>
  </cols>
  <sheetData>
    <row r="1" spans="4:4"/>
    <row r="2" spans="4:4">
      <c r="D2" t="s">
        <v>1093</v>
      </c>
    </row>
    <row r="3" spans="4:4"/>
    <row r="4" spans="4:4"/>
    <row r="5" spans="4:4">
      <c r="D5" t="s">
        <v>1094</v>
      </c>
    </row>
    <row r="6" spans="4:4"/>
    <row r="7" spans="4:4"/>
    <row r="8" spans="4:4"/>
    <row r="9" spans="4:4"/>
    <row r="10" spans="4:4"/>
    <row r="11" spans="4:4"/>
    <row r="12" spans="4:4"/>
    <row r="13" spans="4:4"/>
    <row r="14" spans="4:4"/>
    <row r="15" spans="4:4"/>
    <row r="16" spans="4:4"/>
    <row r="17"/>
    <row r="18"/>
    <row r="19"/>
    <row r="20"/>
    <row r="21"/>
    <row r="22"/>
    <row r="23"/>
    <row r="24"/>
    <row r="25" ht="23.25" customHeight="1"/>
  </sheetData>
  <sheetProtection algorithmName="SHA-512" hashValue="RljquHx/dE7usSuLzDGs4wA3BFjtT+jtkWdXo5D/ZlOMAPw67nlVJWC6lqvnMdw48NiHuGlQpAHtC7NdnqLQEQ==" saltValue="M0e3H8KJnPI0Kdblu+sphA==" spinCount="100000" sheet="1" objects="1" scenarios="1"/>
  <phoneticPr fontId="2" type="noConversion"/>
  <pageMargins left="0.75" right="0.75" top="1" bottom="1" header="0.5" footer="0.5"/>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8"/>
  <dimension ref="A1:CW98"/>
  <sheetViews>
    <sheetView topLeftCell="A64" workbookViewId="0">
      <selection activeCell="A68" sqref="A68:A98"/>
    </sheetView>
  </sheetViews>
  <sheetFormatPr defaultRowHeight="12.5"/>
  <cols>
    <col min="1" max="2" width="1" customWidth="1"/>
    <col min="3" max="3" width="18.81640625" customWidth="1"/>
    <col min="17" max="21" width="9.1796875" style="6" customWidth="1"/>
    <col min="22" max="22" width="17.7265625" style="6" bestFit="1" customWidth="1"/>
  </cols>
  <sheetData>
    <row r="1" spans="1:101">
      <c r="A1" t="s">
        <v>436</v>
      </c>
    </row>
    <row r="3" spans="1:101">
      <c r="A3" t="s">
        <v>83</v>
      </c>
      <c r="B3">
        <v>58</v>
      </c>
      <c r="C3">
        <v>17</v>
      </c>
      <c r="D3">
        <v>86</v>
      </c>
      <c r="E3">
        <v>78</v>
      </c>
      <c r="F3">
        <v>56</v>
      </c>
      <c r="G3">
        <v>96</v>
      </c>
      <c r="H3">
        <v>77</v>
      </c>
      <c r="I3">
        <v>59</v>
      </c>
      <c r="J3">
        <v>6</v>
      </c>
      <c r="K3">
        <v>73</v>
      </c>
      <c r="L3">
        <v>72</v>
      </c>
      <c r="M3">
        <v>48</v>
      </c>
      <c r="N3">
        <v>21</v>
      </c>
      <c r="O3">
        <v>74</v>
      </c>
      <c r="P3">
        <v>41</v>
      </c>
      <c r="Q3" s="6">
        <v>68</v>
      </c>
      <c r="R3" s="6">
        <v>33</v>
      </c>
      <c r="S3" s="6">
        <v>66</v>
      </c>
      <c r="T3" s="6">
        <v>39</v>
      </c>
      <c r="U3" s="6">
        <v>47</v>
      </c>
      <c r="V3" s="6">
        <v>97</v>
      </c>
      <c r="W3">
        <v>69</v>
      </c>
      <c r="X3">
        <v>57</v>
      </c>
      <c r="Y3">
        <v>92</v>
      </c>
      <c r="Z3">
        <v>87</v>
      </c>
      <c r="AA3">
        <v>31</v>
      </c>
      <c r="AB3">
        <v>20</v>
      </c>
      <c r="AC3">
        <v>24</v>
      </c>
      <c r="AD3">
        <v>46</v>
      </c>
      <c r="AE3">
        <v>52</v>
      </c>
      <c r="AF3">
        <v>81</v>
      </c>
      <c r="AG3">
        <v>22</v>
      </c>
      <c r="AH3">
        <v>25</v>
      </c>
      <c r="AI3">
        <v>43</v>
      </c>
      <c r="AJ3">
        <v>62</v>
      </c>
      <c r="AK3">
        <v>8</v>
      </c>
      <c r="AL3">
        <v>75</v>
      </c>
      <c r="AM3">
        <v>13</v>
      </c>
      <c r="AN3">
        <v>50</v>
      </c>
      <c r="AO3">
        <v>19</v>
      </c>
      <c r="AP3">
        <v>80</v>
      </c>
      <c r="AQ3">
        <v>98</v>
      </c>
      <c r="AR3">
        <v>95</v>
      </c>
      <c r="AS3">
        <v>5</v>
      </c>
      <c r="AT3">
        <v>76</v>
      </c>
      <c r="AU3">
        <v>63</v>
      </c>
      <c r="AV3">
        <v>35</v>
      </c>
      <c r="AW3">
        <v>60</v>
      </c>
      <c r="AX3">
        <v>89</v>
      </c>
      <c r="AY3">
        <v>2</v>
      </c>
      <c r="AZ3">
        <v>34</v>
      </c>
      <c r="BA3">
        <v>49</v>
      </c>
      <c r="BB3">
        <v>18</v>
      </c>
      <c r="BC3">
        <v>83</v>
      </c>
      <c r="BD3">
        <v>88</v>
      </c>
      <c r="BE3">
        <v>27</v>
      </c>
      <c r="BF3">
        <v>82</v>
      </c>
      <c r="BG3">
        <v>91</v>
      </c>
      <c r="BH3">
        <v>38</v>
      </c>
      <c r="BI3">
        <v>4</v>
      </c>
      <c r="BJ3">
        <v>79</v>
      </c>
      <c r="BK3">
        <v>53</v>
      </c>
      <c r="BL3">
        <v>100</v>
      </c>
      <c r="BM3">
        <v>64</v>
      </c>
      <c r="BN3">
        <v>71</v>
      </c>
      <c r="BO3">
        <v>28</v>
      </c>
      <c r="BP3">
        <v>1</v>
      </c>
      <c r="BQ3">
        <v>51</v>
      </c>
      <c r="BR3">
        <v>36</v>
      </c>
      <c r="BS3">
        <v>29</v>
      </c>
      <c r="BT3">
        <v>84</v>
      </c>
      <c r="BU3">
        <v>12</v>
      </c>
      <c r="BV3">
        <v>54</v>
      </c>
      <c r="BW3">
        <v>30</v>
      </c>
      <c r="BX3">
        <v>94</v>
      </c>
      <c r="BY3">
        <v>40</v>
      </c>
      <c r="BZ3">
        <v>44</v>
      </c>
      <c r="CA3">
        <v>45</v>
      </c>
      <c r="CB3">
        <v>55</v>
      </c>
      <c r="CC3">
        <v>37</v>
      </c>
      <c r="CD3">
        <v>90</v>
      </c>
      <c r="CE3">
        <v>65</v>
      </c>
      <c r="CF3">
        <v>15</v>
      </c>
      <c r="CG3">
        <v>14</v>
      </c>
      <c r="CH3">
        <v>23</v>
      </c>
      <c r="CI3">
        <v>10</v>
      </c>
      <c r="CJ3">
        <v>85</v>
      </c>
      <c r="CK3">
        <v>32</v>
      </c>
      <c r="CL3">
        <v>11</v>
      </c>
      <c r="CM3">
        <v>67</v>
      </c>
      <c r="CN3">
        <v>16</v>
      </c>
      <c r="CO3">
        <v>61</v>
      </c>
      <c r="CP3">
        <v>3</v>
      </c>
      <c r="CQ3">
        <v>42</v>
      </c>
      <c r="CR3">
        <v>26</v>
      </c>
      <c r="CS3">
        <v>70</v>
      </c>
      <c r="CT3">
        <v>9</v>
      </c>
      <c r="CU3">
        <v>7</v>
      </c>
      <c r="CV3">
        <v>99</v>
      </c>
      <c r="CW3">
        <v>93</v>
      </c>
    </row>
    <row r="5" spans="1:101">
      <c r="K5">
        <v>111</v>
      </c>
      <c r="L5">
        <v>57</v>
      </c>
      <c r="M5">
        <v>23</v>
      </c>
      <c r="N5">
        <v>11</v>
      </c>
      <c r="O5">
        <v>7</v>
      </c>
      <c r="P5">
        <v>2</v>
      </c>
    </row>
    <row r="6" spans="1:101">
      <c r="K6">
        <v>57</v>
      </c>
      <c r="L6">
        <v>23</v>
      </c>
      <c r="M6">
        <v>107</v>
      </c>
      <c r="N6">
        <v>15</v>
      </c>
      <c r="O6">
        <v>12</v>
      </c>
      <c r="P6">
        <v>3</v>
      </c>
    </row>
    <row r="7" spans="1:101">
      <c r="K7">
        <v>23</v>
      </c>
      <c r="L7">
        <v>45</v>
      </c>
      <c r="M7">
        <v>15</v>
      </c>
      <c r="N7">
        <v>13</v>
      </c>
      <c r="O7">
        <v>9</v>
      </c>
      <c r="P7">
        <v>5</v>
      </c>
    </row>
    <row r="8" spans="1:101">
      <c r="K8">
        <v>153</v>
      </c>
      <c r="L8">
        <v>77</v>
      </c>
      <c r="M8">
        <v>45</v>
      </c>
      <c r="N8">
        <v>27</v>
      </c>
      <c r="O8">
        <v>13</v>
      </c>
      <c r="P8">
        <v>7</v>
      </c>
    </row>
    <row r="9" spans="1:101">
      <c r="K9">
        <v>99</v>
      </c>
      <c r="L9">
        <v>23</v>
      </c>
      <c r="M9">
        <v>17</v>
      </c>
      <c r="N9">
        <v>13</v>
      </c>
      <c r="O9">
        <v>12</v>
      </c>
      <c r="P9">
        <v>4</v>
      </c>
    </row>
    <row r="10" spans="1:101">
      <c r="B10" s="1829" t="s">
        <v>447</v>
      </c>
      <c r="C10" s="1830"/>
      <c r="D10" s="1830"/>
      <c r="E10" s="1830"/>
      <c r="F10" s="1830"/>
      <c r="G10" s="1830"/>
      <c r="H10" s="1830"/>
      <c r="I10" s="1831"/>
    </row>
    <row r="11" spans="1:101">
      <c r="B11" s="610"/>
      <c r="C11" s="1172"/>
      <c r="D11" s="1172"/>
      <c r="E11" s="1172"/>
      <c r="F11" s="1172"/>
      <c r="G11" s="1172"/>
      <c r="H11" s="1172"/>
      <c r="I11" s="1173"/>
      <c r="Q11" s="6">
        <v>1</v>
      </c>
      <c r="R11" s="6">
        <f>Q11+1</f>
        <v>2</v>
      </c>
      <c r="S11" s="6">
        <f>R11+1</f>
        <v>3</v>
      </c>
      <c r="T11" s="6">
        <f>S11+1</f>
        <v>4</v>
      </c>
      <c r="U11" s="6">
        <f>T11+1</f>
        <v>5</v>
      </c>
      <c r="W11" s="6" t="s">
        <v>442</v>
      </c>
      <c r="X11" s="6"/>
    </row>
    <row r="12" spans="1:101">
      <c r="B12" s="1174">
        <v>1</v>
      </c>
      <c r="C12" s="20" t="s">
        <v>1359</v>
      </c>
      <c r="D12" s="20">
        <f>Aggregating!G39</f>
        <v>14</v>
      </c>
      <c r="E12" s="20"/>
      <c r="F12" s="20"/>
      <c r="G12" s="20"/>
      <c r="H12" s="20"/>
      <c r="I12" s="1175"/>
      <c r="K12">
        <f t="shared" ref="K12:K59" ca="1" si="0">SUM(D$12:D$59)-OFFSET(D$11,$B12,0)</f>
        <v>131</v>
      </c>
      <c r="L12">
        <f t="shared" ref="L12:L59" ca="1" si="1">SUM(E$12:E$59)-OFFSET(E$11,$B12,0)</f>
        <v>152</v>
      </c>
      <c r="M12">
        <f t="shared" ref="M12:M59" ca="1" si="2">SUM(F$12:F$59)-OFFSET(F$11,$B12,0)</f>
        <v>103</v>
      </c>
      <c r="N12">
        <f t="shared" ref="N12:N59" ca="1" si="3">SUM(G$12:G$59)-OFFSET(G$11,$B12,0)</f>
        <v>129</v>
      </c>
      <c r="O12">
        <f t="shared" ref="O12:O59" ca="1" si="4">SUM(H$12:H$59)-OFFSET(H$11,$B12,0)</f>
        <v>64</v>
      </c>
      <c r="P12">
        <f t="shared" ref="P12:P59" ca="1" si="5">SUM(I$12:I$59)-OFFSET(I$11,$B12,0)</f>
        <v>53</v>
      </c>
      <c r="Q12" s="6">
        <f t="shared" ref="Q12:U31" ca="1" si="6">SUMPRODUCT(OFFSET($K$5:$P$5,Q$11-1,0),$K12:$P12)</f>
        <v>27547</v>
      </c>
      <c r="R12" s="6">
        <f t="shared" ca="1" si="6"/>
        <v>24846</v>
      </c>
      <c r="S12" s="6">
        <f t="shared" ca="1" si="6"/>
        <v>13916</v>
      </c>
      <c r="T12" s="6">
        <f t="shared" ca="1" si="6"/>
        <v>41068</v>
      </c>
      <c r="U12" s="6">
        <f t="shared" ca="1" si="6"/>
        <v>20873</v>
      </c>
      <c r="V12" s="6" t="str">
        <f>C12</f>
        <v>Aggregating</v>
      </c>
      <c r="W12" s="6">
        <f t="shared" ref="W12:W59" ca="1" si="7">MOD(Q12+OFFSET($A$3,0,$B12),$C$64)</f>
        <v>21</v>
      </c>
      <c r="X12" s="6">
        <f t="shared" ref="X12:X59" ca="1" si="8">MOD(R12+OFFSET($A$3,0,$B12),$C$64)</f>
        <v>8</v>
      </c>
      <c r="Y12" s="6">
        <f t="shared" ref="Y12:Y59" ca="1" si="9">MOD(S12+OFFSET($A$3,0,$B12),$C$64)</f>
        <v>22</v>
      </c>
      <c r="Z12" s="6">
        <f t="shared" ref="Z12:Z59" ca="1" si="10">MOD(T12+OFFSET($A$3,0,$B12),$C$64)</f>
        <v>6</v>
      </c>
      <c r="AA12" s="6">
        <f t="shared" ref="AA12:AA59" ca="1" si="11">MOD(U12+OFFSET($A$3,0,$B12),$C$64)</f>
        <v>3</v>
      </c>
    </row>
    <row r="13" spans="1:101">
      <c r="A13" s="1313"/>
      <c r="B13" s="1174">
        <f>B12+1</f>
        <v>2</v>
      </c>
      <c r="C13" s="20" t="s">
        <v>1384</v>
      </c>
      <c r="D13" s="20">
        <f>Averaging!K18</f>
        <v>3</v>
      </c>
      <c r="E13" s="20">
        <f>IF(Averaging!O22,1,0)</f>
        <v>1</v>
      </c>
      <c r="F13" s="20"/>
      <c r="G13" s="20"/>
      <c r="H13" s="20"/>
      <c r="I13" s="1175"/>
      <c r="K13">
        <f t="shared" ca="1" si="0"/>
        <v>142</v>
      </c>
      <c r="L13">
        <f t="shared" ca="1" si="1"/>
        <v>151</v>
      </c>
      <c r="M13">
        <f t="shared" ca="1" si="2"/>
        <v>103</v>
      </c>
      <c r="N13">
        <f t="shared" ca="1" si="3"/>
        <v>129</v>
      </c>
      <c r="O13">
        <f t="shared" ca="1" si="4"/>
        <v>64</v>
      </c>
      <c r="P13">
        <f t="shared" ca="1" si="5"/>
        <v>53</v>
      </c>
      <c r="Q13" s="6">
        <f t="shared" ca="1" si="6"/>
        <v>28711</v>
      </c>
      <c r="R13" s="6">
        <f t="shared" ca="1" si="6"/>
        <v>25450</v>
      </c>
      <c r="S13" s="6">
        <f t="shared" ca="1" si="6"/>
        <v>14124</v>
      </c>
      <c r="T13" s="6">
        <f t="shared" ca="1" si="6"/>
        <v>42674</v>
      </c>
      <c r="U13" s="6">
        <f t="shared" ca="1" si="6"/>
        <v>21939</v>
      </c>
      <c r="V13" s="6" t="str">
        <f t="shared" ref="V13:V55" si="12">C13</f>
        <v>Averaging</v>
      </c>
      <c r="W13" s="6">
        <f t="shared" ca="1" si="7"/>
        <v>24</v>
      </c>
      <c r="X13" s="6">
        <f t="shared" ca="1" si="8"/>
        <v>27</v>
      </c>
      <c r="Y13" s="6">
        <f t="shared" ca="1" si="9"/>
        <v>29</v>
      </c>
      <c r="Z13" s="6">
        <f t="shared" ca="1" si="10"/>
        <v>3</v>
      </c>
      <c r="AA13" s="6">
        <f t="shared" ca="1" si="11"/>
        <v>4</v>
      </c>
    </row>
    <row r="14" spans="1:101">
      <c r="B14" s="1174">
        <f t="shared" ref="B14:B59" si="13">B13+1</f>
        <v>3</v>
      </c>
      <c r="C14" s="20" t="s">
        <v>1385</v>
      </c>
      <c r="D14" s="20">
        <f>INT(Charting!E14-"17-sep-09")</f>
        <v>0</v>
      </c>
      <c r="E14" s="20">
        <f>INT(Charting!E15-"17-sep-09")</f>
        <v>53</v>
      </c>
      <c r="F14" s="20">
        <f>CODE(Charting!L37)-CODE("A")</f>
        <v>6</v>
      </c>
      <c r="G14" s="20"/>
      <c r="H14" s="20"/>
      <c r="I14" s="1175"/>
      <c r="K14">
        <f t="shared" ca="1" si="0"/>
        <v>145</v>
      </c>
      <c r="L14">
        <f t="shared" ca="1" si="1"/>
        <v>99</v>
      </c>
      <c r="M14">
        <f t="shared" ca="1" si="2"/>
        <v>97</v>
      </c>
      <c r="N14">
        <f t="shared" ca="1" si="3"/>
        <v>129</v>
      </c>
      <c r="O14">
        <f t="shared" ca="1" si="4"/>
        <v>64</v>
      </c>
      <c r="P14">
        <f t="shared" ca="1" si="5"/>
        <v>53</v>
      </c>
      <c r="Q14" s="6">
        <f t="shared" ca="1" si="6"/>
        <v>25942</v>
      </c>
      <c r="R14" s="6">
        <f t="shared" ca="1" si="6"/>
        <v>23783</v>
      </c>
      <c r="S14" s="6">
        <f t="shared" ca="1" si="6"/>
        <v>11763</v>
      </c>
      <c r="T14" s="6">
        <f t="shared" ca="1" si="6"/>
        <v>38859</v>
      </c>
      <c r="U14" s="6">
        <f t="shared" ca="1" si="6"/>
        <v>20938</v>
      </c>
      <c r="V14" s="6" t="str">
        <f t="shared" si="12"/>
        <v>Charting</v>
      </c>
      <c r="W14" s="6">
        <f t="shared" ca="1" si="7"/>
        <v>12</v>
      </c>
      <c r="X14" s="6">
        <f t="shared" ca="1" si="8"/>
        <v>29</v>
      </c>
      <c r="Y14" s="6">
        <f t="shared" ca="1" si="9"/>
        <v>9</v>
      </c>
      <c r="Z14" s="6">
        <f t="shared" ca="1" si="10"/>
        <v>1</v>
      </c>
      <c r="AA14" s="6">
        <f t="shared" ca="1" si="11"/>
        <v>0</v>
      </c>
    </row>
    <row r="15" spans="1:101">
      <c r="B15" s="1174">
        <f t="shared" si="13"/>
        <v>4</v>
      </c>
      <c r="C15" s="1189" t="s">
        <v>1386</v>
      </c>
      <c r="D15" s="20">
        <f>Highlighting!G16</f>
        <v>0</v>
      </c>
      <c r="E15" s="20">
        <f>IF(Highlighting!H31,1,0)</f>
        <v>0</v>
      </c>
      <c r="F15" s="20">
        <f>IF(Highlighting!G46="&lt;none&gt;",12,CODE(Highlighting!G46)-CODE("A"))</f>
        <v>12</v>
      </c>
      <c r="G15" s="20">
        <f>IF(Highlighting!G61,1,0)</f>
        <v>0</v>
      </c>
      <c r="H15" s="20"/>
      <c r="I15" s="1175"/>
      <c r="K15">
        <f t="shared" ca="1" si="0"/>
        <v>145</v>
      </c>
      <c r="L15">
        <f t="shared" ca="1" si="1"/>
        <v>152</v>
      </c>
      <c r="M15">
        <f t="shared" ca="1" si="2"/>
        <v>91</v>
      </c>
      <c r="N15">
        <f t="shared" ca="1" si="3"/>
        <v>129</v>
      </c>
      <c r="O15">
        <f t="shared" ca="1" si="4"/>
        <v>64</v>
      </c>
      <c r="P15">
        <f t="shared" ca="1" si="5"/>
        <v>53</v>
      </c>
      <c r="Q15" s="6">
        <f t="shared" ca="1" si="6"/>
        <v>28825</v>
      </c>
      <c r="R15" s="6">
        <f t="shared" ca="1" si="6"/>
        <v>24360</v>
      </c>
      <c r="S15" s="6">
        <f t="shared" ca="1" si="6"/>
        <v>14058</v>
      </c>
      <c r="T15" s="6">
        <f t="shared" ca="1" si="6"/>
        <v>42670</v>
      </c>
      <c r="U15" s="6">
        <f t="shared" ca="1" si="6"/>
        <v>22055</v>
      </c>
      <c r="V15" s="6" t="str">
        <f t="shared" si="12"/>
        <v>Highlighting</v>
      </c>
      <c r="W15" s="6">
        <f t="shared" ca="1" si="7"/>
        <v>7</v>
      </c>
      <c r="X15" s="6">
        <f t="shared" ca="1" si="8"/>
        <v>22</v>
      </c>
      <c r="Y15" s="6">
        <f t="shared" ca="1" si="9"/>
        <v>24</v>
      </c>
      <c r="Z15" s="6">
        <f t="shared" ca="1" si="10"/>
        <v>28</v>
      </c>
      <c r="AA15" s="6">
        <f t="shared" ca="1" si="11"/>
        <v>21</v>
      </c>
    </row>
    <row r="16" spans="1:101">
      <c r="B16" s="1174">
        <f t="shared" si="13"/>
        <v>5</v>
      </c>
      <c r="C16" s="1189" t="s">
        <v>1387</v>
      </c>
      <c r="D16" s="20">
        <f>Filtering!G27/10</f>
        <v>8</v>
      </c>
      <c r="E16" s="20">
        <f>Filtering!I27/10</f>
        <v>5</v>
      </c>
      <c r="F16" s="20"/>
      <c r="G16" s="20"/>
      <c r="H16" s="20"/>
      <c r="I16" s="1175"/>
      <c r="K16">
        <f t="shared" ca="1" si="0"/>
        <v>137</v>
      </c>
      <c r="L16">
        <f t="shared" ca="1" si="1"/>
        <v>147</v>
      </c>
      <c r="M16">
        <f t="shared" ca="1" si="2"/>
        <v>103</v>
      </c>
      <c r="N16">
        <f t="shared" ca="1" si="3"/>
        <v>129</v>
      </c>
      <c r="O16">
        <f t="shared" ca="1" si="4"/>
        <v>64</v>
      </c>
      <c r="P16">
        <f t="shared" ca="1" si="5"/>
        <v>53</v>
      </c>
      <c r="Q16" s="6">
        <f t="shared" ca="1" si="6"/>
        <v>27928</v>
      </c>
      <c r="R16" s="6">
        <f t="shared" ca="1" si="6"/>
        <v>25073</v>
      </c>
      <c r="S16" s="6">
        <f t="shared" ca="1" si="6"/>
        <v>13829</v>
      </c>
      <c r="T16" s="6">
        <f t="shared" ca="1" si="6"/>
        <v>41601</v>
      </c>
      <c r="U16" s="6">
        <f t="shared" ca="1" si="6"/>
        <v>21352</v>
      </c>
      <c r="V16" s="6" t="str">
        <f t="shared" si="12"/>
        <v>Filtering</v>
      </c>
      <c r="W16" s="6">
        <f t="shared" ca="1" si="7"/>
        <v>16</v>
      </c>
      <c r="X16" s="6">
        <f t="shared" ca="1" si="8"/>
        <v>9</v>
      </c>
      <c r="Y16" s="6">
        <f t="shared" ca="1" si="9"/>
        <v>29</v>
      </c>
      <c r="Z16" s="6">
        <f t="shared" ca="1" si="10"/>
        <v>25</v>
      </c>
      <c r="AA16" s="6">
        <f t="shared" ca="1" si="11"/>
        <v>0</v>
      </c>
    </row>
    <row r="17" spans="2:27">
      <c r="B17" s="1174">
        <f t="shared" si="13"/>
        <v>6</v>
      </c>
      <c r="C17" s="1189" t="s">
        <v>126</v>
      </c>
      <c r="D17" s="20">
        <f>INT(SUM(RateSensitising!I25:W25)*100)-20</f>
        <v>6</v>
      </c>
      <c r="E17" s="20">
        <f>SUM(RateSensitising!D43:D48)</f>
        <v>2</v>
      </c>
      <c r="F17" s="20">
        <f>SUM(RateSensitising!E43:E48)</f>
        <v>11</v>
      </c>
      <c r="G17" s="20">
        <f>SUM(RateSensitising!G43:G48)</f>
        <v>17</v>
      </c>
      <c r="H17" s="20"/>
      <c r="I17" s="1175"/>
      <c r="K17">
        <f t="shared" ca="1" si="0"/>
        <v>139</v>
      </c>
      <c r="L17">
        <f t="shared" ca="1" si="1"/>
        <v>150</v>
      </c>
      <c r="M17">
        <f t="shared" ca="1" si="2"/>
        <v>92</v>
      </c>
      <c r="N17">
        <f t="shared" ca="1" si="3"/>
        <v>112</v>
      </c>
      <c r="O17">
        <f t="shared" ca="1" si="4"/>
        <v>64</v>
      </c>
      <c r="P17">
        <f t="shared" ca="1" si="5"/>
        <v>53</v>
      </c>
      <c r="Q17" s="6">
        <f t="shared" ca="1" si="6"/>
        <v>27881</v>
      </c>
      <c r="R17" s="6">
        <f t="shared" ca="1" si="6"/>
        <v>23824</v>
      </c>
      <c r="S17" s="6">
        <f t="shared" ca="1" si="6"/>
        <v>13624</v>
      </c>
      <c r="T17" s="6">
        <f t="shared" ca="1" si="6"/>
        <v>41184</v>
      </c>
      <c r="U17" s="6">
        <f t="shared" ca="1" si="6"/>
        <v>21211</v>
      </c>
      <c r="V17" s="6" t="str">
        <f t="shared" si="12"/>
        <v>RateSensitising</v>
      </c>
      <c r="W17" s="6">
        <f t="shared" ca="1" si="7"/>
        <v>9</v>
      </c>
      <c r="X17" s="6">
        <f t="shared" ca="1" si="8"/>
        <v>16</v>
      </c>
      <c r="Y17" s="6">
        <f t="shared" ca="1" si="9"/>
        <v>24</v>
      </c>
      <c r="Z17" s="6">
        <f t="shared" ca="1" si="10"/>
        <v>0</v>
      </c>
      <c r="AA17" s="6">
        <f t="shared" ca="1" si="11"/>
        <v>27</v>
      </c>
    </row>
    <row r="18" spans="2:27">
      <c r="B18" s="1174">
        <f t="shared" si="13"/>
        <v>7</v>
      </c>
      <c r="C18" s="1189" t="s">
        <v>1360</v>
      </c>
      <c r="D18" s="20">
        <f>INT(SUM(Interpolating!E17:E23))</f>
        <v>4</v>
      </c>
      <c r="E18" s="20">
        <f>INT(SUM(Interpolating!E31:E37))</f>
        <v>4</v>
      </c>
      <c r="F18" s="20">
        <f>INT(SUM(Interpolating!E45:E51))</f>
        <v>4</v>
      </c>
      <c r="G18" s="20">
        <f>INT(SUM(Interpolating!E59:E65))</f>
        <v>4</v>
      </c>
      <c r="H18" s="20">
        <f>SUM(Interpolating!C60:C62)</f>
        <v>6</v>
      </c>
      <c r="I18" s="1175"/>
      <c r="K18">
        <f t="shared" ca="1" si="0"/>
        <v>141</v>
      </c>
      <c r="L18">
        <f t="shared" ca="1" si="1"/>
        <v>148</v>
      </c>
      <c r="M18">
        <f t="shared" ca="1" si="2"/>
        <v>99</v>
      </c>
      <c r="N18">
        <f t="shared" ca="1" si="3"/>
        <v>125</v>
      </c>
      <c r="O18">
        <f t="shared" ca="1" si="4"/>
        <v>58</v>
      </c>
      <c r="P18">
        <f t="shared" ca="1" si="5"/>
        <v>53</v>
      </c>
      <c r="Q18" s="6">
        <f t="shared" ca="1" si="6"/>
        <v>28251</v>
      </c>
      <c r="R18" s="6">
        <f t="shared" ca="1" si="6"/>
        <v>24764</v>
      </c>
      <c r="S18" s="6">
        <f t="shared" ca="1" si="6"/>
        <v>13800</v>
      </c>
      <c r="T18" s="6">
        <f t="shared" ca="1" si="6"/>
        <v>41924</v>
      </c>
      <c r="U18" s="6">
        <f t="shared" ca="1" si="6"/>
        <v>21579</v>
      </c>
      <c r="V18" s="6" t="str">
        <f t="shared" si="12"/>
        <v>Interpolating</v>
      </c>
      <c r="W18" s="6">
        <f t="shared" ca="1" si="7"/>
        <v>8</v>
      </c>
      <c r="X18" s="6">
        <f t="shared" ca="1" si="8"/>
        <v>9</v>
      </c>
      <c r="Y18" s="6">
        <f t="shared" ca="1" si="9"/>
        <v>21</v>
      </c>
      <c r="Z18" s="6">
        <f t="shared" ca="1" si="10"/>
        <v>17</v>
      </c>
      <c r="AA18" s="6">
        <f t="shared" ca="1" si="11"/>
        <v>24</v>
      </c>
    </row>
    <row r="19" spans="2:27">
      <c r="B19" s="1174">
        <f t="shared" si="13"/>
        <v>8</v>
      </c>
      <c r="C19" s="1189" t="s">
        <v>1503</v>
      </c>
      <c r="D19" s="20">
        <f>MATCH(Looking_Up!G22,Looking_Up!J19:J30,0)</f>
        <v>10</v>
      </c>
      <c r="E19" s="20">
        <f>Looking_Up!G23-2005</f>
        <v>3</v>
      </c>
      <c r="F19" s="20">
        <f>MATCH(Looking_Up!G40,Looking_Up!J35:J46,0)</f>
        <v>10</v>
      </c>
      <c r="G19" s="20">
        <f>Looking_Up!G41-2005</f>
        <v>2</v>
      </c>
      <c r="H19" s="20">
        <f>MATCH(Looking_Up!G42,Looking_Up!J35:J46,0)</f>
        <v>5</v>
      </c>
      <c r="I19" s="1175">
        <f>Looking_Up!G43-2005</f>
        <v>4</v>
      </c>
      <c r="K19">
        <f t="shared" ca="1" si="0"/>
        <v>135</v>
      </c>
      <c r="L19">
        <f t="shared" ca="1" si="1"/>
        <v>149</v>
      </c>
      <c r="M19">
        <f t="shared" ca="1" si="2"/>
        <v>93</v>
      </c>
      <c r="N19">
        <f t="shared" ca="1" si="3"/>
        <v>127</v>
      </c>
      <c r="O19">
        <f t="shared" ca="1" si="4"/>
        <v>59</v>
      </c>
      <c r="P19">
        <f t="shared" ca="1" si="5"/>
        <v>49</v>
      </c>
      <c r="Q19" s="6">
        <f t="shared" ca="1" si="6"/>
        <v>27525</v>
      </c>
      <c r="R19" s="6">
        <f t="shared" ca="1" si="6"/>
        <v>23833</v>
      </c>
      <c r="S19" s="6">
        <f t="shared" ca="1" si="6"/>
        <v>13632</v>
      </c>
      <c r="T19" s="6">
        <f t="shared" ca="1" si="6"/>
        <v>40852</v>
      </c>
      <c r="U19" s="6">
        <f t="shared" ca="1" si="6"/>
        <v>20928</v>
      </c>
      <c r="V19" s="6" t="str">
        <f t="shared" si="12"/>
        <v>Looking_Up</v>
      </c>
      <c r="W19" s="6">
        <f t="shared" ca="1" si="7"/>
        <v>0</v>
      </c>
      <c r="X19" s="6">
        <f t="shared" ca="1" si="8"/>
        <v>20</v>
      </c>
      <c r="Y19" s="6">
        <f t="shared" ca="1" si="9"/>
        <v>27</v>
      </c>
      <c r="Z19" s="6">
        <f t="shared" ca="1" si="10"/>
        <v>15</v>
      </c>
      <c r="AA19" s="6">
        <f t="shared" ca="1" si="11"/>
        <v>27</v>
      </c>
    </row>
    <row r="20" spans="2:27">
      <c r="B20" s="1174">
        <f t="shared" si="13"/>
        <v>9</v>
      </c>
      <c r="C20" s="1189" t="s">
        <v>355</v>
      </c>
      <c r="D20" s="20">
        <f>INT(SUM(Prioritising!E21:G21)/100)</f>
        <v>8</v>
      </c>
      <c r="E20" s="20">
        <f>INT(SUM(Prioritising!H21:J21)/100)</f>
        <v>9</v>
      </c>
      <c r="F20" s="20">
        <f>INT(SUM(Prioritising!K21:L21)/100)</f>
        <v>4</v>
      </c>
      <c r="G20" s="20">
        <f>INT(SUM(Prioritising!E53:G53)/100)</f>
        <v>1</v>
      </c>
      <c r="H20" s="20">
        <f>INT(SUM(Prioritising!H53:J53)/100)</f>
        <v>8</v>
      </c>
      <c r="I20" s="20">
        <f>INT(SUM(Prioritising!K53:L53)/100)</f>
        <v>7</v>
      </c>
      <c r="K20">
        <f t="shared" ca="1" si="0"/>
        <v>137</v>
      </c>
      <c r="L20">
        <f t="shared" ca="1" si="1"/>
        <v>143</v>
      </c>
      <c r="M20">
        <f t="shared" ca="1" si="2"/>
        <v>99</v>
      </c>
      <c r="N20">
        <f t="shared" ca="1" si="3"/>
        <v>128</v>
      </c>
      <c r="O20">
        <f t="shared" ca="1" si="4"/>
        <v>56</v>
      </c>
      <c r="P20">
        <f t="shared" ca="1" si="5"/>
        <v>46</v>
      </c>
      <c r="Q20" s="6">
        <f t="shared" ca="1" si="6"/>
        <v>27527</v>
      </c>
      <c r="R20" s="6">
        <f t="shared" ca="1" si="6"/>
        <v>24421</v>
      </c>
      <c r="S20" s="6">
        <f t="shared" ca="1" si="6"/>
        <v>13469</v>
      </c>
      <c r="T20" s="6">
        <f t="shared" ca="1" si="6"/>
        <v>40933</v>
      </c>
      <c r="U20" s="6">
        <f t="shared" ca="1" si="6"/>
        <v>21055</v>
      </c>
      <c r="V20" s="6" t="str">
        <f t="shared" si="12"/>
        <v>Prioritising</v>
      </c>
      <c r="W20" s="6">
        <f t="shared" ca="1" si="7"/>
        <v>13</v>
      </c>
      <c r="X20" s="6">
        <f t="shared" ca="1" si="8"/>
        <v>11</v>
      </c>
      <c r="Y20" s="6">
        <f t="shared" ca="1" si="9"/>
        <v>3</v>
      </c>
      <c r="Z20" s="6">
        <f t="shared" ca="1" si="10"/>
        <v>11</v>
      </c>
      <c r="AA20" s="6">
        <f t="shared" ca="1" si="11"/>
        <v>5</v>
      </c>
    </row>
    <row r="21" spans="2:27">
      <c r="B21" s="1174">
        <f t="shared" si="13"/>
        <v>10</v>
      </c>
      <c r="C21" s="1189" t="s">
        <v>1388</v>
      </c>
      <c r="D21" s="20">
        <f>Ranking_calcs!$F$2</f>
        <v>2</v>
      </c>
      <c r="E21" s="20">
        <f>Ranking_calcs!$F$3</f>
        <v>1</v>
      </c>
      <c r="F21" s="20"/>
      <c r="G21" s="20"/>
      <c r="H21" s="20"/>
      <c r="I21" s="20"/>
      <c r="K21">
        <f t="shared" ca="1" si="0"/>
        <v>143</v>
      </c>
      <c r="L21">
        <f t="shared" ca="1" si="1"/>
        <v>151</v>
      </c>
      <c r="M21">
        <f t="shared" ca="1" si="2"/>
        <v>103</v>
      </c>
      <c r="N21">
        <f t="shared" ca="1" si="3"/>
        <v>129</v>
      </c>
      <c r="O21">
        <f t="shared" ca="1" si="4"/>
        <v>64</v>
      </c>
      <c r="P21">
        <f t="shared" ca="1" si="5"/>
        <v>53</v>
      </c>
      <c r="Q21" s="6">
        <f t="shared" ca="1" si="6"/>
        <v>28822</v>
      </c>
      <c r="R21" s="6">
        <f t="shared" ca="1" si="6"/>
        <v>25507</v>
      </c>
      <c r="S21" s="6">
        <f t="shared" ca="1" si="6"/>
        <v>14147</v>
      </c>
      <c r="T21" s="6">
        <f t="shared" ca="1" si="6"/>
        <v>42827</v>
      </c>
      <c r="U21" s="6">
        <f t="shared" ca="1" si="6"/>
        <v>22038</v>
      </c>
      <c r="V21" s="6" t="str">
        <f t="shared" si="12"/>
        <v>Ranking</v>
      </c>
      <c r="W21" s="6">
        <f t="shared" ca="1" si="7"/>
        <v>31</v>
      </c>
      <c r="X21" s="6">
        <f t="shared" ca="1" si="8"/>
        <v>12</v>
      </c>
      <c r="Y21" s="6">
        <f t="shared" ca="1" si="9"/>
        <v>12</v>
      </c>
      <c r="Z21" s="6">
        <f t="shared" ca="1" si="10"/>
        <v>20</v>
      </c>
      <c r="AA21" s="6">
        <f t="shared" ca="1" si="11"/>
        <v>31</v>
      </c>
    </row>
    <row r="22" spans="2:27">
      <c r="B22" s="1174">
        <f t="shared" si="13"/>
        <v>11</v>
      </c>
      <c r="C22" s="1189" t="s">
        <v>263</v>
      </c>
      <c r="D22" s="20"/>
      <c r="E22" s="20"/>
      <c r="F22" s="20"/>
      <c r="G22" s="20"/>
      <c r="H22" s="20"/>
      <c r="I22" s="20"/>
      <c r="K22">
        <f t="shared" ca="1" si="0"/>
        <v>145</v>
      </c>
      <c r="L22">
        <f t="shared" ca="1" si="1"/>
        <v>152</v>
      </c>
      <c r="M22">
        <f t="shared" ca="1" si="2"/>
        <v>103</v>
      </c>
      <c r="N22">
        <f t="shared" ca="1" si="3"/>
        <v>129</v>
      </c>
      <c r="O22">
        <f t="shared" ca="1" si="4"/>
        <v>64</v>
      </c>
      <c r="P22">
        <f t="shared" ca="1" si="5"/>
        <v>53</v>
      </c>
      <c r="Q22" s="6">
        <f t="shared" ca="1" si="6"/>
        <v>29101</v>
      </c>
      <c r="R22" s="6">
        <f t="shared" ca="1" si="6"/>
        <v>25644</v>
      </c>
      <c r="S22" s="6">
        <f t="shared" ca="1" si="6"/>
        <v>14238</v>
      </c>
      <c r="T22" s="6">
        <f t="shared" ca="1" si="6"/>
        <v>43210</v>
      </c>
      <c r="U22" s="6">
        <f t="shared" ca="1" si="6"/>
        <v>22259</v>
      </c>
      <c r="V22" s="6" t="str">
        <f t="shared" si="12"/>
        <v>Rounding</v>
      </c>
      <c r="W22" s="6">
        <f t="shared" ca="1" si="7"/>
        <v>21</v>
      </c>
      <c r="X22" s="6">
        <f t="shared" ca="1" si="8"/>
        <v>20</v>
      </c>
      <c r="Y22" s="6">
        <f t="shared" ca="1" si="9"/>
        <v>6</v>
      </c>
      <c r="Z22" s="6">
        <f t="shared" ca="1" si="10"/>
        <v>18</v>
      </c>
      <c r="AA22" s="6">
        <f t="shared" ca="1" si="11"/>
        <v>27</v>
      </c>
    </row>
    <row r="23" spans="2:27">
      <c r="B23" s="1174">
        <f t="shared" si="13"/>
        <v>12</v>
      </c>
      <c r="C23" s="1189" t="s">
        <v>1090</v>
      </c>
      <c r="D23" s="20">
        <f>scenario_choose</f>
        <v>3</v>
      </c>
      <c r="E23" s="20">
        <f>INT((Scenario_Analysing!G72-1000)/50)</f>
        <v>11</v>
      </c>
      <c r="F23" s="20">
        <f>INT((Scenario_Analysing!H72-1000)/50)</f>
        <v>8</v>
      </c>
      <c r="G23" s="20">
        <f>INT((Scenario_Analysing!I72-1000)/50)</f>
        <v>5</v>
      </c>
      <c r="H23" s="20">
        <f>INT((Scenario_Analysing!J72-1000)/50)</f>
        <v>21</v>
      </c>
      <c r="I23" s="20">
        <f>INT((Scenario_Analysing!K72-1000)/50)</f>
        <v>20</v>
      </c>
      <c r="K23">
        <f t="shared" ca="1" si="0"/>
        <v>142</v>
      </c>
      <c r="L23">
        <f t="shared" ca="1" si="1"/>
        <v>141</v>
      </c>
      <c r="M23">
        <f t="shared" ca="1" si="2"/>
        <v>95</v>
      </c>
      <c r="N23">
        <f t="shared" ca="1" si="3"/>
        <v>124</v>
      </c>
      <c r="O23">
        <f t="shared" ca="1" si="4"/>
        <v>43</v>
      </c>
      <c r="P23">
        <f t="shared" ca="1" si="5"/>
        <v>33</v>
      </c>
      <c r="Q23" s="6">
        <f t="shared" ca="1" si="6"/>
        <v>27715</v>
      </c>
      <c r="R23" s="6">
        <f t="shared" ca="1" si="6"/>
        <v>23977</v>
      </c>
      <c r="S23" s="6">
        <f t="shared" ca="1" si="6"/>
        <v>13200</v>
      </c>
      <c r="T23" s="6">
        <f t="shared" ca="1" si="6"/>
        <v>40996</v>
      </c>
      <c r="U23" s="6">
        <f t="shared" ca="1" si="6"/>
        <v>21176</v>
      </c>
      <c r="V23" s="6" t="str">
        <f t="shared" si="12"/>
        <v>Scenario_Analysing</v>
      </c>
      <c r="W23" s="6">
        <f t="shared" ca="1" si="7"/>
        <v>19</v>
      </c>
      <c r="X23" s="6">
        <f t="shared" ca="1" si="8"/>
        <v>25</v>
      </c>
      <c r="Y23" s="6">
        <f t="shared" ca="1" si="9"/>
        <v>0</v>
      </c>
      <c r="Z23" s="6">
        <f t="shared" ca="1" si="10"/>
        <v>20</v>
      </c>
      <c r="AA23" s="6">
        <f t="shared" ca="1" si="11"/>
        <v>8</v>
      </c>
    </row>
    <row r="24" spans="2:27">
      <c r="B24" s="1174">
        <f t="shared" si="13"/>
        <v>13</v>
      </c>
      <c r="C24" s="1189" t="s">
        <v>1501</v>
      </c>
      <c r="D24" s="20">
        <f>SUM(Scheduling!D23:D29)</f>
        <v>19</v>
      </c>
      <c r="E24" s="20">
        <f>IF(Scheduling!E23="&lt;none&gt;",12,CODE(Scheduling!E23)-CODE("A"))</f>
        <v>2</v>
      </c>
      <c r="F24" s="20">
        <f>IF(Scheduling!E24="&lt;none&gt;",12,CODE(Scheduling!E24)-CODE("A"))</f>
        <v>3</v>
      </c>
      <c r="G24" s="20">
        <f>IF(Scheduling!E25="&lt;none&gt;",12,CODE(Scheduling!E25)-CODE("A"))</f>
        <v>12</v>
      </c>
      <c r="H24" s="20">
        <f>IF(Scheduling!E26="&lt;none&gt;",12,CODE(Scheduling!E26)-CODE("A"))</f>
        <v>4</v>
      </c>
      <c r="I24" s="20">
        <f>IF(Scheduling!E27="&lt;none&gt;",12,CODE(Scheduling!E27)-CODE("A"))</f>
        <v>5</v>
      </c>
      <c r="K24">
        <f t="shared" ca="1" si="0"/>
        <v>126</v>
      </c>
      <c r="L24">
        <f t="shared" ca="1" si="1"/>
        <v>150</v>
      </c>
      <c r="M24">
        <f t="shared" ca="1" si="2"/>
        <v>100</v>
      </c>
      <c r="N24">
        <f t="shared" ca="1" si="3"/>
        <v>117</v>
      </c>
      <c r="O24">
        <f t="shared" ca="1" si="4"/>
        <v>60</v>
      </c>
      <c r="P24">
        <f t="shared" ca="1" si="5"/>
        <v>48</v>
      </c>
      <c r="Q24" s="6">
        <f t="shared" ca="1" si="6"/>
        <v>26639</v>
      </c>
      <c r="R24" s="6">
        <f t="shared" ca="1" si="6"/>
        <v>23951</v>
      </c>
      <c r="S24" s="6">
        <f t="shared" ca="1" si="6"/>
        <v>13449</v>
      </c>
      <c r="T24" s="6">
        <f t="shared" ca="1" si="6"/>
        <v>39603</v>
      </c>
      <c r="U24" s="6">
        <f t="shared" ca="1" si="6"/>
        <v>20057</v>
      </c>
      <c r="V24" s="6" t="str">
        <f t="shared" si="12"/>
        <v>Scheduling</v>
      </c>
      <c r="W24" s="6">
        <f t="shared" ca="1" si="7"/>
        <v>4</v>
      </c>
      <c r="X24" s="6">
        <f t="shared" ca="1" si="8"/>
        <v>4</v>
      </c>
      <c r="Y24" s="6">
        <f t="shared" ca="1" si="9"/>
        <v>30</v>
      </c>
      <c r="Z24" s="6">
        <f t="shared" ca="1" si="10"/>
        <v>8</v>
      </c>
      <c r="AA24" s="6">
        <f t="shared" ca="1" si="11"/>
        <v>14</v>
      </c>
    </row>
    <row r="25" spans="2:27">
      <c r="B25" s="1174">
        <f t="shared" si="13"/>
        <v>14</v>
      </c>
      <c r="C25" s="1189" t="s">
        <v>8</v>
      </c>
      <c r="D25" s="1197">
        <f>Seasonalising!F13</f>
        <v>2</v>
      </c>
      <c r="E25" s="20">
        <f>IF(seasonalising_calcs!$P$14,1,0)</f>
        <v>1</v>
      </c>
      <c r="F25" s="20">
        <f>IF(seasonalising_calcs!$P$13,1,0)</f>
        <v>1</v>
      </c>
      <c r="G25" s="20"/>
      <c r="H25" s="20"/>
      <c r="I25" s="20"/>
      <c r="K25">
        <f t="shared" ca="1" si="0"/>
        <v>143</v>
      </c>
      <c r="L25">
        <f t="shared" ca="1" si="1"/>
        <v>151</v>
      </c>
      <c r="M25">
        <f t="shared" ca="1" si="2"/>
        <v>102</v>
      </c>
      <c r="N25">
        <f t="shared" ca="1" si="3"/>
        <v>129</v>
      </c>
      <c r="O25">
        <f t="shared" ca="1" si="4"/>
        <v>64</v>
      </c>
      <c r="P25">
        <f t="shared" ca="1" si="5"/>
        <v>53</v>
      </c>
      <c r="Q25" s="6">
        <f t="shared" ca="1" si="6"/>
        <v>28799</v>
      </c>
      <c r="R25" s="6">
        <f t="shared" ca="1" si="6"/>
        <v>25400</v>
      </c>
      <c r="S25" s="6">
        <f t="shared" ca="1" si="6"/>
        <v>14132</v>
      </c>
      <c r="T25" s="6">
        <f t="shared" ca="1" si="6"/>
        <v>42782</v>
      </c>
      <c r="U25" s="6">
        <f t="shared" ca="1" si="6"/>
        <v>22021</v>
      </c>
      <c r="V25" s="6" t="str">
        <f t="shared" si="12"/>
        <v>Seasonalising</v>
      </c>
      <c r="W25" s="6">
        <f t="shared" ca="1" si="7"/>
        <v>9</v>
      </c>
      <c r="X25" s="6">
        <f t="shared" ca="1" si="8"/>
        <v>2</v>
      </c>
      <c r="Y25" s="6">
        <f t="shared" ca="1" si="9"/>
        <v>30</v>
      </c>
      <c r="Z25" s="6">
        <f t="shared" ca="1" si="10"/>
        <v>8</v>
      </c>
      <c r="AA25" s="6">
        <f t="shared" ca="1" si="11"/>
        <v>15</v>
      </c>
    </row>
    <row r="26" spans="2:27">
      <c r="B26" s="1174">
        <f t="shared" si="13"/>
        <v>15</v>
      </c>
      <c r="C26" s="1189" t="s">
        <v>356</v>
      </c>
      <c r="D26" s="1197">
        <f>Sensitising_Value!F36</f>
        <v>5</v>
      </c>
      <c r="E26" s="20">
        <f>INT(SUM(Sensitising_Value!D28:D31)*20)</f>
        <v>19</v>
      </c>
      <c r="F26" s="20">
        <f>INT(SUM(Sensitising_Value!H28:H31)*20)</f>
        <v>24</v>
      </c>
      <c r="G26" s="20">
        <f>INT(SUM(Sensitising_Value!M28:M31)*5)</f>
        <v>63</v>
      </c>
      <c r="H26" s="20"/>
      <c r="I26" s="20"/>
      <c r="K26">
        <f t="shared" ca="1" si="0"/>
        <v>140</v>
      </c>
      <c r="L26">
        <f t="shared" ca="1" si="1"/>
        <v>133</v>
      </c>
      <c r="M26">
        <f t="shared" ca="1" si="2"/>
        <v>79</v>
      </c>
      <c r="N26">
        <f t="shared" ca="1" si="3"/>
        <v>66</v>
      </c>
      <c r="O26">
        <f t="shared" ca="1" si="4"/>
        <v>64</v>
      </c>
      <c r="P26">
        <f t="shared" ca="1" si="5"/>
        <v>53</v>
      </c>
      <c r="Q26" s="6">
        <f t="shared" ca="1" si="6"/>
        <v>26218</v>
      </c>
      <c r="R26" s="6">
        <f t="shared" ca="1" si="6"/>
        <v>21409</v>
      </c>
      <c r="S26" s="6">
        <f t="shared" ca="1" si="6"/>
        <v>12089</v>
      </c>
      <c r="T26" s="6">
        <f t="shared" ca="1" si="6"/>
        <v>38201</v>
      </c>
      <c r="U26" s="6">
        <f t="shared" ca="1" si="6"/>
        <v>20100</v>
      </c>
      <c r="V26" s="6" t="str">
        <f t="shared" si="12"/>
        <v>Sensitising_Value</v>
      </c>
      <c r="W26" s="6">
        <f t="shared" ca="1" si="7"/>
        <v>19</v>
      </c>
      <c r="X26" s="6">
        <f t="shared" ca="1" si="8"/>
        <v>10</v>
      </c>
      <c r="Y26" s="6">
        <f t="shared" ca="1" si="9"/>
        <v>2</v>
      </c>
      <c r="Z26" s="6">
        <f t="shared" ca="1" si="10"/>
        <v>2</v>
      </c>
      <c r="AA26" s="6">
        <f t="shared" ca="1" si="11"/>
        <v>13</v>
      </c>
    </row>
    <row r="27" spans="2:27">
      <c r="B27" s="1174">
        <f t="shared" si="13"/>
        <v>16</v>
      </c>
      <c r="C27" s="1189" t="s">
        <v>1091</v>
      </c>
      <c r="D27" s="1197">
        <f>INT(SUM(Valuing_Option!D20:D22)/25)</f>
        <v>10</v>
      </c>
      <c r="E27" s="20">
        <f>SUM(Valuing_Option!F20:F22)</f>
        <v>0</v>
      </c>
      <c r="F27" s="20">
        <f>IF(Valuing_Option!C27,1,0)</f>
        <v>1</v>
      </c>
      <c r="G27" s="20">
        <f>IF(Valuing_Option!C28,1,0)</f>
        <v>1</v>
      </c>
      <c r="H27" s="20">
        <f>IF(Valuing_Option!C29,1,0)</f>
        <v>1</v>
      </c>
      <c r="I27" s="20">
        <f>IF(Valuing_Option!C31,1,0)</f>
        <v>0</v>
      </c>
      <c r="K27">
        <f t="shared" ca="1" si="0"/>
        <v>135</v>
      </c>
      <c r="L27">
        <f t="shared" ca="1" si="1"/>
        <v>152</v>
      </c>
      <c r="M27">
        <f t="shared" ca="1" si="2"/>
        <v>102</v>
      </c>
      <c r="N27">
        <f t="shared" ca="1" si="3"/>
        <v>128</v>
      </c>
      <c r="O27">
        <f t="shared" ca="1" si="4"/>
        <v>63</v>
      </c>
      <c r="P27">
        <f t="shared" ca="1" si="5"/>
        <v>53</v>
      </c>
      <c r="Q27" s="6">
        <f t="shared" ca="1" si="6"/>
        <v>27950</v>
      </c>
      <c r="R27" s="6">
        <f t="shared" ca="1" si="6"/>
        <v>24940</v>
      </c>
      <c r="S27" s="6">
        <f t="shared" ca="1" si="6"/>
        <v>13971</v>
      </c>
      <c r="T27" s="6">
        <f t="shared" ca="1" si="6"/>
        <v>41595</v>
      </c>
      <c r="U27" s="6">
        <f t="shared" ca="1" si="6"/>
        <v>21227</v>
      </c>
      <c r="V27" s="6" t="str">
        <f t="shared" si="12"/>
        <v>Valuing_Option</v>
      </c>
      <c r="W27" s="6">
        <f t="shared" ca="1" si="7"/>
        <v>18</v>
      </c>
      <c r="X27" s="6">
        <f t="shared" ca="1" si="8"/>
        <v>16</v>
      </c>
      <c r="Y27" s="6">
        <f t="shared" ca="1" si="9"/>
        <v>23</v>
      </c>
      <c r="Z27" s="6">
        <f t="shared" ca="1" si="10"/>
        <v>31</v>
      </c>
      <c r="AA27" s="6">
        <f t="shared" ca="1" si="11"/>
        <v>15</v>
      </c>
    </row>
    <row r="28" spans="2:27">
      <c r="B28" s="1174">
        <f t="shared" si="13"/>
        <v>17</v>
      </c>
      <c r="C28" s="1189" t="s">
        <v>945</v>
      </c>
      <c r="D28" s="1197"/>
      <c r="E28" s="20"/>
      <c r="F28" s="20"/>
      <c r="G28" s="20"/>
      <c r="H28" s="20"/>
      <c r="I28" s="20"/>
      <c r="K28">
        <f t="shared" ca="1" si="0"/>
        <v>145</v>
      </c>
      <c r="L28">
        <f t="shared" ca="1" si="1"/>
        <v>152</v>
      </c>
      <c r="M28">
        <f t="shared" ca="1" si="2"/>
        <v>103</v>
      </c>
      <c r="N28">
        <f t="shared" ca="1" si="3"/>
        <v>129</v>
      </c>
      <c r="O28">
        <f t="shared" ca="1" si="4"/>
        <v>64</v>
      </c>
      <c r="P28">
        <f t="shared" ca="1" si="5"/>
        <v>53</v>
      </c>
      <c r="Q28" s="6">
        <f t="shared" ca="1" si="6"/>
        <v>29101</v>
      </c>
      <c r="R28" s="6">
        <f t="shared" ca="1" si="6"/>
        <v>25644</v>
      </c>
      <c r="S28" s="6">
        <f t="shared" ca="1" si="6"/>
        <v>14238</v>
      </c>
      <c r="T28" s="6">
        <f t="shared" ca="1" si="6"/>
        <v>43210</v>
      </c>
      <c r="U28" s="6">
        <f t="shared" ca="1" si="6"/>
        <v>22259</v>
      </c>
      <c r="V28" s="6" t="str">
        <f>C28</f>
        <v>VB</v>
      </c>
      <c r="W28" s="6">
        <f t="shared" ca="1" si="7"/>
        <v>14</v>
      </c>
      <c r="X28" s="6">
        <f t="shared" ca="1" si="8"/>
        <v>13</v>
      </c>
      <c r="Y28" s="6">
        <f t="shared" ca="1" si="9"/>
        <v>31</v>
      </c>
      <c r="Z28" s="6">
        <f t="shared" ca="1" si="10"/>
        <v>11</v>
      </c>
      <c r="AA28" s="6">
        <f t="shared" ca="1" si="11"/>
        <v>20</v>
      </c>
    </row>
    <row r="29" spans="2:27">
      <c r="B29" s="1174">
        <f t="shared" si="13"/>
        <v>18</v>
      </c>
      <c r="C29" s="1189" t="s">
        <v>1448</v>
      </c>
      <c r="D29" s="1197"/>
      <c r="E29" s="20"/>
      <c r="F29" s="20"/>
      <c r="G29" s="20"/>
      <c r="H29" s="20"/>
      <c r="I29" s="20"/>
      <c r="K29">
        <f t="shared" ca="1" si="0"/>
        <v>145</v>
      </c>
      <c r="L29">
        <f t="shared" ca="1" si="1"/>
        <v>152</v>
      </c>
      <c r="M29">
        <f t="shared" ca="1" si="2"/>
        <v>103</v>
      </c>
      <c r="N29">
        <f t="shared" ca="1" si="3"/>
        <v>129</v>
      </c>
      <c r="O29">
        <f t="shared" ca="1" si="4"/>
        <v>64</v>
      </c>
      <c r="P29">
        <f t="shared" ca="1" si="5"/>
        <v>53</v>
      </c>
      <c r="Q29" s="6">
        <f t="shared" ca="1" si="6"/>
        <v>29101</v>
      </c>
      <c r="R29" s="6">
        <f t="shared" ca="1" si="6"/>
        <v>25644</v>
      </c>
      <c r="S29" s="6">
        <f t="shared" ca="1" si="6"/>
        <v>14238</v>
      </c>
      <c r="T29" s="6">
        <f t="shared" ca="1" si="6"/>
        <v>43210</v>
      </c>
      <c r="U29" s="6">
        <f t="shared" ca="1" si="6"/>
        <v>22259</v>
      </c>
      <c r="V29" s="6" t="str">
        <f>C29</f>
        <v>Your_own</v>
      </c>
      <c r="W29" s="6">
        <f t="shared" ca="1" si="7"/>
        <v>15</v>
      </c>
      <c r="X29" s="6">
        <f t="shared" ca="1" si="8"/>
        <v>14</v>
      </c>
      <c r="Y29" s="6">
        <f t="shared" ca="1" si="9"/>
        <v>0</v>
      </c>
      <c r="Z29" s="6">
        <f t="shared" ca="1" si="10"/>
        <v>12</v>
      </c>
      <c r="AA29" s="6">
        <f t="shared" ca="1" si="11"/>
        <v>21</v>
      </c>
    </row>
    <row r="30" spans="2:27">
      <c r="B30" s="1174">
        <f t="shared" si="13"/>
        <v>19</v>
      </c>
      <c r="C30" s="1189" t="s">
        <v>1447</v>
      </c>
      <c r="D30" s="1197"/>
      <c r="E30" s="20"/>
      <c r="F30" s="20"/>
      <c r="G30" s="20"/>
      <c r="H30" s="20"/>
      <c r="I30" s="20"/>
      <c r="K30">
        <f t="shared" ca="1" si="0"/>
        <v>145</v>
      </c>
      <c r="L30">
        <f t="shared" ca="1" si="1"/>
        <v>152</v>
      </c>
      <c r="M30">
        <f t="shared" ca="1" si="2"/>
        <v>103</v>
      </c>
      <c r="N30">
        <f t="shared" ca="1" si="3"/>
        <v>129</v>
      </c>
      <c r="O30">
        <f t="shared" ca="1" si="4"/>
        <v>64</v>
      </c>
      <c r="P30">
        <f t="shared" ca="1" si="5"/>
        <v>53</v>
      </c>
      <c r="Q30" s="6">
        <f t="shared" ca="1" si="6"/>
        <v>29101</v>
      </c>
      <c r="R30" s="6">
        <f t="shared" ca="1" si="6"/>
        <v>25644</v>
      </c>
      <c r="S30" s="6">
        <f t="shared" ca="1" si="6"/>
        <v>14238</v>
      </c>
      <c r="T30" s="6">
        <f t="shared" ca="1" si="6"/>
        <v>43210</v>
      </c>
      <c r="U30" s="6">
        <f t="shared" ca="1" si="6"/>
        <v>22259</v>
      </c>
      <c r="V30" s="6" t="str">
        <f>C30</f>
        <v>xref</v>
      </c>
      <c r="W30" s="6">
        <f t="shared" ca="1" si="7"/>
        <v>20</v>
      </c>
      <c r="X30" s="6">
        <f t="shared" ca="1" si="8"/>
        <v>19</v>
      </c>
      <c r="Y30" s="6">
        <f t="shared" ca="1" si="9"/>
        <v>5</v>
      </c>
      <c r="Z30" s="6">
        <f t="shared" ca="1" si="10"/>
        <v>17</v>
      </c>
      <c r="AA30" s="6">
        <f t="shared" ca="1" si="11"/>
        <v>26</v>
      </c>
    </row>
    <row r="31" spans="2:27">
      <c r="B31" s="1174">
        <f t="shared" si="13"/>
        <v>20</v>
      </c>
      <c r="C31" s="1189" t="s">
        <v>127</v>
      </c>
      <c r="D31" s="1197"/>
      <c r="E31" s="20"/>
      <c r="F31" s="20"/>
      <c r="G31" s="20"/>
      <c r="H31" s="20"/>
      <c r="I31" s="20"/>
      <c r="K31">
        <f t="shared" ca="1" si="0"/>
        <v>145</v>
      </c>
      <c r="L31">
        <f t="shared" ca="1" si="1"/>
        <v>152</v>
      </c>
      <c r="M31">
        <f t="shared" ca="1" si="2"/>
        <v>103</v>
      </c>
      <c r="N31">
        <f t="shared" ca="1" si="3"/>
        <v>129</v>
      </c>
      <c r="O31">
        <f t="shared" ca="1" si="4"/>
        <v>64</v>
      </c>
      <c r="P31">
        <f t="shared" ca="1" si="5"/>
        <v>53</v>
      </c>
      <c r="Q31" s="6">
        <f t="shared" ca="1" si="6"/>
        <v>29101</v>
      </c>
      <c r="R31" s="6">
        <f t="shared" ca="1" si="6"/>
        <v>25644</v>
      </c>
      <c r="S31" s="6">
        <f t="shared" ca="1" si="6"/>
        <v>14238</v>
      </c>
      <c r="T31" s="6">
        <f t="shared" ca="1" si="6"/>
        <v>43210</v>
      </c>
      <c r="U31" s="6">
        <f t="shared" ca="1" si="6"/>
        <v>22259</v>
      </c>
      <c r="V31" s="6" t="str">
        <f t="shared" si="12"/>
        <v>fn_ABS</v>
      </c>
      <c r="W31" s="6">
        <f t="shared" ca="1" si="7"/>
        <v>28</v>
      </c>
      <c r="X31" s="6">
        <f t="shared" ca="1" si="8"/>
        <v>27</v>
      </c>
      <c r="Y31" s="6">
        <f t="shared" ca="1" si="9"/>
        <v>13</v>
      </c>
      <c r="Z31" s="6">
        <f t="shared" ca="1" si="10"/>
        <v>25</v>
      </c>
      <c r="AA31" s="6">
        <f t="shared" ca="1" si="11"/>
        <v>2</v>
      </c>
    </row>
    <row r="32" spans="2:27">
      <c r="B32" s="1174">
        <f t="shared" si="13"/>
        <v>21</v>
      </c>
      <c r="C32" s="20" t="s">
        <v>437</v>
      </c>
      <c r="D32" s="20">
        <f>IF(fn_AND!D20,1,0)</f>
        <v>1</v>
      </c>
      <c r="E32" s="20">
        <f>IF(fn_AND!F20,1,0)</f>
        <v>1</v>
      </c>
      <c r="F32" s="20">
        <f>IF(fn_AND!H20,1,0)</f>
        <v>0</v>
      </c>
      <c r="G32" s="20">
        <f>fn_AND!E74</f>
        <v>14</v>
      </c>
      <c r="H32" s="20">
        <f>fn_AND!F86</f>
        <v>19</v>
      </c>
      <c r="I32" s="1175">
        <f>fn_AND!F74</f>
        <v>17</v>
      </c>
      <c r="K32">
        <f t="shared" ca="1" si="0"/>
        <v>144</v>
      </c>
      <c r="L32">
        <f t="shared" ca="1" si="1"/>
        <v>151</v>
      </c>
      <c r="M32">
        <f t="shared" ca="1" si="2"/>
        <v>103</v>
      </c>
      <c r="N32">
        <f t="shared" ca="1" si="3"/>
        <v>115</v>
      </c>
      <c r="O32">
        <f t="shared" ca="1" si="4"/>
        <v>45</v>
      </c>
      <c r="P32">
        <f t="shared" ca="1" si="5"/>
        <v>36</v>
      </c>
      <c r="Q32" s="6">
        <f t="shared" ref="Q32:Q59" ca="1" si="14">SUMPRODUCT(OFFSET($K$5:$P$5,Q$11-1,0),$K32:$P32)</f>
        <v>28612</v>
      </c>
      <c r="R32" s="6">
        <f t="shared" ref="R32:U45" ca="1" si="15">SUMPRODUCT(OFFSET($K$5:$P$5,R$11-1,0),$K32:$P32)</f>
        <v>25075</v>
      </c>
      <c r="S32" s="6">
        <f t="shared" ca="1" si="15"/>
        <v>13732</v>
      </c>
      <c r="T32" s="6">
        <f t="shared" ca="1" si="15"/>
        <v>42236</v>
      </c>
      <c r="U32" s="6">
        <f t="shared" ca="1" si="15"/>
        <v>21659</v>
      </c>
      <c r="V32" s="6" t="str">
        <f t="shared" si="12"/>
        <v>fn_AND</v>
      </c>
      <c r="W32" s="775">
        <f t="shared" ca="1" si="7"/>
        <v>5</v>
      </c>
      <c r="X32" s="6">
        <f t="shared" ca="1" si="8"/>
        <v>20</v>
      </c>
      <c r="Y32" s="6">
        <f t="shared" ca="1" si="9"/>
        <v>5</v>
      </c>
      <c r="Z32" s="6">
        <f t="shared" ca="1" si="10"/>
        <v>29</v>
      </c>
      <c r="AA32" s="6">
        <f t="shared" ca="1" si="11"/>
        <v>28</v>
      </c>
    </row>
    <row r="33" spans="2:27">
      <c r="B33" s="1174">
        <f t="shared" si="13"/>
        <v>22</v>
      </c>
      <c r="C33" s="1189" t="s">
        <v>128</v>
      </c>
      <c r="D33" s="20"/>
      <c r="E33" s="20"/>
      <c r="F33" s="20"/>
      <c r="G33" s="20"/>
      <c r="H33" s="20"/>
      <c r="I33" s="1175"/>
      <c r="K33">
        <f t="shared" ca="1" si="0"/>
        <v>145</v>
      </c>
      <c r="L33">
        <f t="shared" ca="1" si="1"/>
        <v>152</v>
      </c>
      <c r="M33">
        <f t="shared" ca="1" si="2"/>
        <v>103</v>
      </c>
      <c r="N33">
        <f t="shared" ca="1" si="3"/>
        <v>129</v>
      </c>
      <c r="O33">
        <f t="shared" ca="1" si="4"/>
        <v>64</v>
      </c>
      <c r="P33">
        <f t="shared" ca="1" si="5"/>
        <v>53</v>
      </c>
      <c r="Q33" s="6">
        <f t="shared" ca="1" si="14"/>
        <v>29101</v>
      </c>
      <c r="R33" s="6">
        <f t="shared" ca="1" si="15"/>
        <v>25644</v>
      </c>
      <c r="S33" s="6">
        <f t="shared" ca="1" si="15"/>
        <v>14238</v>
      </c>
      <c r="T33" s="6">
        <f t="shared" ca="1" si="15"/>
        <v>43210</v>
      </c>
      <c r="U33" s="6">
        <f t="shared" ca="1" si="15"/>
        <v>22259</v>
      </c>
      <c r="V33" s="6" t="str">
        <f t="shared" si="12"/>
        <v>fn_AVERAGE</v>
      </c>
      <c r="W33" s="775">
        <f t="shared" ca="1" si="7"/>
        <v>18</v>
      </c>
      <c r="X33" s="6">
        <f t="shared" ca="1" si="8"/>
        <v>17</v>
      </c>
      <c r="Y33" s="6">
        <f t="shared" ca="1" si="9"/>
        <v>3</v>
      </c>
      <c r="Z33" s="6">
        <f t="shared" ca="1" si="10"/>
        <v>15</v>
      </c>
      <c r="AA33" s="6">
        <f t="shared" ca="1" si="11"/>
        <v>24</v>
      </c>
    </row>
    <row r="34" spans="2:27">
      <c r="B34" s="1174">
        <f t="shared" si="13"/>
        <v>23</v>
      </c>
      <c r="C34" s="20" t="s">
        <v>439</v>
      </c>
      <c r="D34" s="20">
        <f>fn_CHOOSE!E40</f>
        <v>1</v>
      </c>
      <c r="E34" s="20">
        <f>fn_CHOOSE!E87</f>
        <v>1</v>
      </c>
      <c r="F34" s="20"/>
      <c r="G34" s="20"/>
      <c r="H34" s="20"/>
      <c r="I34" s="1175"/>
      <c r="K34">
        <f t="shared" ca="1" si="0"/>
        <v>144</v>
      </c>
      <c r="L34">
        <f t="shared" ca="1" si="1"/>
        <v>151</v>
      </c>
      <c r="M34">
        <f t="shared" ca="1" si="2"/>
        <v>103</v>
      </c>
      <c r="N34">
        <f t="shared" ca="1" si="3"/>
        <v>129</v>
      </c>
      <c r="O34">
        <f t="shared" ca="1" si="4"/>
        <v>64</v>
      </c>
      <c r="P34">
        <f t="shared" ca="1" si="5"/>
        <v>53</v>
      </c>
      <c r="Q34" s="6">
        <f t="shared" ca="1" si="14"/>
        <v>28933</v>
      </c>
      <c r="R34" s="6">
        <f t="shared" ca="1" si="15"/>
        <v>25564</v>
      </c>
      <c r="S34" s="6">
        <f t="shared" ca="1" si="15"/>
        <v>14170</v>
      </c>
      <c r="T34" s="6">
        <f t="shared" ca="1" si="15"/>
        <v>42980</v>
      </c>
      <c r="U34" s="6">
        <f t="shared" ca="1" si="15"/>
        <v>22137</v>
      </c>
      <c r="V34" s="6" t="str">
        <f t="shared" si="12"/>
        <v>fn_CHOOSE</v>
      </c>
      <c r="W34" s="6">
        <f t="shared" ca="1" si="7"/>
        <v>30</v>
      </c>
      <c r="X34" s="6">
        <f t="shared" ca="1" si="8"/>
        <v>21</v>
      </c>
      <c r="Y34" s="6">
        <f t="shared" ca="1" si="9"/>
        <v>19</v>
      </c>
      <c r="Z34" s="6">
        <f t="shared" ca="1" si="10"/>
        <v>29</v>
      </c>
      <c r="AA34" s="6">
        <f t="shared" ca="1" si="11"/>
        <v>18</v>
      </c>
    </row>
    <row r="35" spans="2:27">
      <c r="B35" s="1174">
        <f t="shared" si="13"/>
        <v>24</v>
      </c>
      <c r="C35" s="1189" t="s">
        <v>129</v>
      </c>
      <c r="D35" s="20"/>
      <c r="E35" s="20"/>
      <c r="F35" s="20"/>
      <c r="G35" s="20"/>
      <c r="H35" s="20"/>
      <c r="I35" s="1175"/>
      <c r="K35">
        <f t="shared" ca="1" si="0"/>
        <v>145</v>
      </c>
      <c r="L35">
        <f t="shared" ca="1" si="1"/>
        <v>152</v>
      </c>
      <c r="M35">
        <f t="shared" ca="1" si="2"/>
        <v>103</v>
      </c>
      <c r="N35">
        <f t="shared" ca="1" si="3"/>
        <v>129</v>
      </c>
      <c r="O35">
        <f t="shared" ca="1" si="4"/>
        <v>64</v>
      </c>
      <c r="P35">
        <f t="shared" ca="1" si="5"/>
        <v>53</v>
      </c>
      <c r="Q35" s="6">
        <f t="shared" ca="1" si="14"/>
        <v>29101</v>
      </c>
      <c r="R35" s="6">
        <f t="shared" ca="1" si="15"/>
        <v>25644</v>
      </c>
      <c r="S35" s="6">
        <f t="shared" ca="1" si="15"/>
        <v>14238</v>
      </c>
      <c r="T35" s="6">
        <f t="shared" ca="1" si="15"/>
        <v>43210</v>
      </c>
      <c r="U35" s="6">
        <f t="shared" ca="1" si="15"/>
        <v>22259</v>
      </c>
      <c r="V35" s="6" t="str">
        <f t="shared" si="12"/>
        <v>fn_COUNT</v>
      </c>
      <c r="W35" s="6">
        <f t="shared" ca="1" si="7"/>
        <v>9</v>
      </c>
      <c r="X35" s="6">
        <f t="shared" ca="1" si="8"/>
        <v>8</v>
      </c>
      <c r="Y35" s="6">
        <f t="shared" ca="1" si="9"/>
        <v>26</v>
      </c>
      <c r="Z35" s="6">
        <f t="shared" ca="1" si="10"/>
        <v>6</v>
      </c>
      <c r="AA35" s="6">
        <f t="shared" ca="1" si="11"/>
        <v>15</v>
      </c>
    </row>
    <row r="36" spans="2:27">
      <c r="B36" s="1174">
        <f t="shared" si="13"/>
        <v>25</v>
      </c>
      <c r="C36" s="20" t="s">
        <v>440</v>
      </c>
      <c r="D36" s="20">
        <f>CODE(fn_COUNTIF!G73)-CODE("A")</f>
        <v>1</v>
      </c>
      <c r="E36" s="20"/>
      <c r="F36" s="20"/>
      <c r="G36" s="20"/>
      <c r="H36" s="20"/>
      <c r="I36" s="1175"/>
      <c r="K36">
        <f t="shared" ca="1" si="0"/>
        <v>144</v>
      </c>
      <c r="L36">
        <f t="shared" ca="1" si="1"/>
        <v>152</v>
      </c>
      <c r="M36">
        <f t="shared" ca="1" si="2"/>
        <v>103</v>
      </c>
      <c r="N36">
        <f t="shared" ca="1" si="3"/>
        <v>129</v>
      </c>
      <c r="O36">
        <f t="shared" ca="1" si="4"/>
        <v>64</v>
      </c>
      <c r="P36">
        <f t="shared" ca="1" si="5"/>
        <v>53</v>
      </c>
      <c r="Q36" s="6">
        <f t="shared" ca="1" si="14"/>
        <v>28990</v>
      </c>
      <c r="R36" s="6">
        <f t="shared" ca="1" si="15"/>
        <v>25587</v>
      </c>
      <c r="S36" s="6">
        <f t="shared" ca="1" si="15"/>
        <v>14215</v>
      </c>
      <c r="T36" s="6">
        <f t="shared" ca="1" si="15"/>
        <v>43057</v>
      </c>
      <c r="U36" s="6">
        <f t="shared" ca="1" si="15"/>
        <v>22160</v>
      </c>
      <c r="V36" s="6" t="str">
        <f t="shared" si="12"/>
        <v>fn_COUNTIF</v>
      </c>
      <c r="W36" s="6">
        <f t="shared" ca="1" si="7"/>
        <v>21</v>
      </c>
      <c r="X36" s="6">
        <f t="shared" ca="1" si="8"/>
        <v>10</v>
      </c>
      <c r="Y36" s="6">
        <f t="shared" ca="1" si="9"/>
        <v>30</v>
      </c>
      <c r="Z36" s="6">
        <f t="shared" ca="1" si="10"/>
        <v>8</v>
      </c>
      <c r="AA36" s="6">
        <f t="shared" ca="1" si="11"/>
        <v>7</v>
      </c>
    </row>
    <row r="37" spans="2:27">
      <c r="B37" s="1174">
        <f t="shared" si="13"/>
        <v>26</v>
      </c>
      <c r="C37" s="20" t="s">
        <v>441</v>
      </c>
      <c r="D37" s="20">
        <f>fn_IF!D22</f>
        <v>7</v>
      </c>
      <c r="E37" s="20">
        <f>fn_IF!F22</f>
        <v>7</v>
      </c>
      <c r="F37" s="20">
        <f>fn_IF!D60</f>
        <v>7</v>
      </c>
      <c r="G37" s="20">
        <f>fn_IF!E60</f>
        <v>6</v>
      </c>
      <c r="H37" s="20"/>
      <c r="I37" s="1175"/>
      <c r="K37">
        <f t="shared" ca="1" si="0"/>
        <v>138</v>
      </c>
      <c r="L37">
        <f t="shared" ca="1" si="1"/>
        <v>145</v>
      </c>
      <c r="M37">
        <f t="shared" ca="1" si="2"/>
        <v>96</v>
      </c>
      <c r="N37">
        <f t="shared" ca="1" si="3"/>
        <v>123</v>
      </c>
      <c r="O37">
        <f t="shared" ca="1" si="4"/>
        <v>64</v>
      </c>
      <c r="P37">
        <f t="shared" ca="1" si="5"/>
        <v>53</v>
      </c>
      <c r="Q37" s="6">
        <f t="shared" ca="1" si="14"/>
        <v>27698</v>
      </c>
      <c r="R37" s="6">
        <f t="shared" ca="1" si="15"/>
        <v>24245</v>
      </c>
      <c r="S37" s="6">
        <f t="shared" ca="1" si="15"/>
        <v>13579</v>
      </c>
      <c r="T37" s="6">
        <f t="shared" ca="1" si="15"/>
        <v>41123</v>
      </c>
      <c r="U37" s="6">
        <f t="shared" ca="1" si="15"/>
        <v>21208</v>
      </c>
      <c r="V37" s="6" t="str">
        <f t="shared" si="12"/>
        <v>fn_IF</v>
      </c>
      <c r="W37" s="6">
        <f t="shared" ca="1" si="7"/>
        <v>17</v>
      </c>
      <c r="X37" s="6">
        <f t="shared" ca="1" si="8"/>
        <v>20</v>
      </c>
      <c r="Y37" s="6">
        <f t="shared" ca="1" si="9"/>
        <v>10</v>
      </c>
      <c r="Z37" s="6">
        <f t="shared" ca="1" si="10"/>
        <v>2</v>
      </c>
      <c r="AA37" s="6">
        <f t="shared" ca="1" si="11"/>
        <v>23</v>
      </c>
    </row>
    <row r="38" spans="2:27">
      <c r="B38" s="1174">
        <f t="shared" si="13"/>
        <v>27</v>
      </c>
      <c r="C38" s="20" t="s">
        <v>443</v>
      </c>
      <c r="D38" s="20">
        <f>CODE(fn_ISNA!E56)-CODE("A")</f>
        <v>0</v>
      </c>
      <c r="E38" s="20"/>
      <c r="F38" s="20"/>
      <c r="G38" s="20"/>
      <c r="H38" s="20"/>
      <c r="I38" s="1175"/>
      <c r="K38">
        <f t="shared" ca="1" si="0"/>
        <v>145</v>
      </c>
      <c r="L38">
        <f t="shared" ca="1" si="1"/>
        <v>152</v>
      </c>
      <c r="M38">
        <f t="shared" ca="1" si="2"/>
        <v>103</v>
      </c>
      <c r="N38">
        <f t="shared" ca="1" si="3"/>
        <v>129</v>
      </c>
      <c r="O38">
        <f t="shared" ca="1" si="4"/>
        <v>64</v>
      </c>
      <c r="P38">
        <f t="shared" ca="1" si="5"/>
        <v>53</v>
      </c>
      <c r="Q38" s="6">
        <f t="shared" ca="1" si="14"/>
        <v>29101</v>
      </c>
      <c r="R38" s="6">
        <f t="shared" ca="1" si="15"/>
        <v>25644</v>
      </c>
      <c r="S38" s="6">
        <f t="shared" ca="1" si="15"/>
        <v>14238</v>
      </c>
      <c r="T38" s="6">
        <f t="shared" ca="1" si="15"/>
        <v>43210</v>
      </c>
      <c r="U38" s="6">
        <f t="shared" ca="1" si="15"/>
        <v>22259</v>
      </c>
      <c r="V38" s="6" t="str">
        <f t="shared" si="12"/>
        <v>fn_ISNA</v>
      </c>
      <c r="W38" s="6">
        <f t="shared" ca="1" si="7"/>
        <v>1</v>
      </c>
      <c r="X38" s="6">
        <f t="shared" ca="1" si="8"/>
        <v>0</v>
      </c>
      <c r="Y38" s="6">
        <f t="shared" ca="1" si="9"/>
        <v>18</v>
      </c>
      <c r="Z38" s="6">
        <f t="shared" ca="1" si="10"/>
        <v>30</v>
      </c>
      <c r="AA38" s="6">
        <f t="shared" ca="1" si="11"/>
        <v>7</v>
      </c>
    </row>
    <row r="39" spans="2:27">
      <c r="B39" s="1174">
        <f t="shared" si="13"/>
        <v>28</v>
      </c>
      <c r="C39" s="1189" t="s">
        <v>1604</v>
      </c>
      <c r="D39">
        <f>fn_LARGE!F23</f>
        <v>2</v>
      </c>
      <c r="E39">
        <f>INT(SUM(fn_LARGE!D59:D66)/10)</f>
        <v>22</v>
      </c>
      <c r="K39">
        <f t="shared" ca="1" si="0"/>
        <v>143</v>
      </c>
      <c r="L39">
        <f t="shared" ca="1" si="1"/>
        <v>130</v>
      </c>
      <c r="M39">
        <f t="shared" ca="1" si="2"/>
        <v>103</v>
      </c>
      <c r="N39">
        <f t="shared" ca="1" si="3"/>
        <v>129</v>
      </c>
      <c r="O39">
        <f t="shared" ca="1" si="4"/>
        <v>64</v>
      </c>
      <c r="P39">
        <f t="shared" ca="1" si="5"/>
        <v>53</v>
      </c>
      <c r="Q39" s="6">
        <f t="shared" ca="1" si="14"/>
        <v>27625</v>
      </c>
      <c r="R39" s="6">
        <f t="shared" ca="1" si="15"/>
        <v>25024</v>
      </c>
      <c r="S39" s="6">
        <f t="shared" ca="1" si="15"/>
        <v>13202</v>
      </c>
      <c r="T39" s="6">
        <f t="shared" ca="1" si="15"/>
        <v>41210</v>
      </c>
      <c r="U39" s="6">
        <f t="shared" ca="1" si="15"/>
        <v>21555</v>
      </c>
      <c r="V39" s="6" t="str">
        <f t="shared" si="12"/>
        <v>fn_LARGE</v>
      </c>
      <c r="W39" s="6">
        <f t="shared" ca="1" si="7"/>
        <v>1</v>
      </c>
      <c r="X39" s="6">
        <f t="shared" ca="1" si="8"/>
        <v>24</v>
      </c>
      <c r="Y39" s="6">
        <f t="shared" ca="1" si="9"/>
        <v>10</v>
      </c>
      <c r="Z39" s="6">
        <f t="shared" ca="1" si="10"/>
        <v>18</v>
      </c>
      <c r="AA39" s="6">
        <f t="shared" ca="1" si="11"/>
        <v>11</v>
      </c>
    </row>
    <row r="40" spans="2:27">
      <c r="B40" s="1174">
        <f t="shared" si="13"/>
        <v>29</v>
      </c>
      <c r="C40" s="1189" t="s">
        <v>130</v>
      </c>
      <c r="K40">
        <f t="shared" ca="1" si="0"/>
        <v>145</v>
      </c>
      <c r="L40">
        <f t="shared" ca="1" si="1"/>
        <v>152</v>
      </c>
      <c r="M40">
        <f t="shared" ca="1" si="2"/>
        <v>103</v>
      </c>
      <c r="N40">
        <f t="shared" ca="1" si="3"/>
        <v>129</v>
      </c>
      <c r="O40">
        <f t="shared" ca="1" si="4"/>
        <v>64</v>
      </c>
      <c r="P40">
        <f t="shared" ca="1" si="5"/>
        <v>53</v>
      </c>
      <c r="Q40" s="6">
        <f t="shared" ca="1" si="14"/>
        <v>29101</v>
      </c>
      <c r="R40" s="6">
        <f t="shared" ca="1" si="15"/>
        <v>25644</v>
      </c>
      <c r="S40" s="6">
        <f t="shared" ca="1" si="15"/>
        <v>14238</v>
      </c>
      <c r="T40" s="6">
        <f t="shared" ca="1" si="15"/>
        <v>43210</v>
      </c>
      <c r="U40" s="6">
        <f t="shared" ca="1" si="15"/>
        <v>22259</v>
      </c>
      <c r="V40" s="6" t="str">
        <f t="shared" si="12"/>
        <v>fn_LEFT</v>
      </c>
      <c r="W40" s="6">
        <f t="shared" ca="1" si="7"/>
        <v>27</v>
      </c>
      <c r="X40" s="6">
        <f t="shared" ca="1" si="8"/>
        <v>26</v>
      </c>
      <c r="Y40" s="6">
        <f t="shared" ca="1" si="9"/>
        <v>12</v>
      </c>
      <c r="Z40" s="6">
        <f t="shared" ca="1" si="10"/>
        <v>24</v>
      </c>
      <c r="AA40" s="6">
        <f t="shared" ca="1" si="11"/>
        <v>1</v>
      </c>
    </row>
    <row r="41" spans="2:27">
      <c r="B41" s="1174">
        <f t="shared" si="13"/>
        <v>30</v>
      </c>
      <c r="C41" s="20" t="s">
        <v>444</v>
      </c>
      <c r="D41" s="1176">
        <f>CODE(fn_LOOKUP!D112)-CODE("A")</f>
        <v>7</v>
      </c>
      <c r="E41" s="20"/>
      <c r="F41" s="20"/>
      <c r="G41" s="20"/>
      <c r="H41" s="20"/>
      <c r="I41" s="1175"/>
      <c r="K41">
        <f t="shared" ca="1" si="0"/>
        <v>138</v>
      </c>
      <c r="L41">
        <f t="shared" ca="1" si="1"/>
        <v>152</v>
      </c>
      <c r="M41">
        <f t="shared" ca="1" si="2"/>
        <v>103</v>
      </c>
      <c r="N41">
        <f t="shared" ca="1" si="3"/>
        <v>129</v>
      </c>
      <c r="O41">
        <f t="shared" ca="1" si="4"/>
        <v>64</v>
      </c>
      <c r="P41">
        <f t="shared" ca="1" si="5"/>
        <v>53</v>
      </c>
      <c r="Q41" s="6">
        <f t="shared" ca="1" si="14"/>
        <v>28324</v>
      </c>
      <c r="R41" s="6">
        <f t="shared" ca="1" si="15"/>
        <v>25245</v>
      </c>
      <c r="S41" s="6">
        <f t="shared" ca="1" si="15"/>
        <v>14077</v>
      </c>
      <c r="T41" s="6">
        <f t="shared" ca="1" si="15"/>
        <v>42139</v>
      </c>
      <c r="U41" s="6">
        <f t="shared" ca="1" si="15"/>
        <v>21566</v>
      </c>
      <c r="V41" s="6" t="str">
        <f t="shared" si="12"/>
        <v>fn_LOOKUP</v>
      </c>
      <c r="W41" s="6">
        <f t="shared" ca="1" si="7"/>
        <v>24</v>
      </c>
      <c r="X41" s="6">
        <f t="shared" ca="1" si="8"/>
        <v>17</v>
      </c>
      <c r="Y41" s="6">
        <f t="shared" ca="1" si="9"/>
        <v>17</v>
      </c>
      <c r="Z41" s="6">
        <f t="shared" ca="1" si="10"/>
        <v>15</v>
      </c>
      <c r="AA41" s="6">
        <f t="shared" ca="1" si="11"/>
        <v>18</v>
      </c>
    </row>
    <row r="42" spans="2:27">
      <c r="B42" s="1174">
        <f t="shared" si="13"/>
        <v>31</v>
      </c>
      <c r="C42" s="1189" t="s">
        <v>131</v>
      </c>
      <c r="D42" s="1176"/>
      <c r="E42" s="20"/>
      <c r="F42" s="20"/>
      <c r="G42" s="20"/>
      <c r="H42" s="20"/>
      <c r="I42" s="1175"/>
      <c r="K42">
        <f t="shared" ca="1" si="0"/>
        <v>145</v>
      </c>
      <c r="L42">
        <f t="shared" ca="1" si="1"/>
        <v>152</v>
      </c>
      <c r="M42">
        <f t="shared" ca="1" si="2"/>
        <v>103</v>
      </c>
      <c r="N42">
        <f t="shared" ca="1" si="3"/>
        <v>129</v>
      </c>
      <c r="O42">
        <f t="shared" ca="1" si="4"/>
        <v>64</v>
      </c>
      <c r="P42">
        <f t="shared" ca="1" si="5"/>
        <v>53</v>
      </c>
      <c r="Q42" s="6">
        <f t="shared" ca="1" si="14"/>
        <v>29101</v>
      </c>
      <c r="R42" s="6">
        <f t="shared" ca="1" si="15"/>
        <v>25644</v>
      </c>
      <c r="S42" s="6">
        <f t="shared" ca="1" si="15"/>
        <v>14238</v>
      </c>
      <c r="T42" s="6">
        <f t="shared" ca="1" si="15"/>
        <v>43210</v>
      </c>
      <c r="U42" s="6">
        <f t="shared" ca="1" si="15"/>
        <v>22259</v>
      </c>
      <c r="V42" s="6" t="str">
        <f t="shared" si="12"/>
        <v>fn_MATCH</v>
      </c>
      <c r="W42" s="6">
        <f t="shared" ca="1" si="7"/>
        <v>30</v>
      </c>
      <c r="X42" s="6">
        <f t="shared" ca="1" si="8"/>
        <v>29</v>
      </c>
      <c r="Y42" s="6">
        <f t="shared" ca="1" si="9"/>
        <v>15</v>
      </c>
      <c r="Z42" s="6">
        <f t="shared" ca="1" si="10"/>
        <v>27</v>
      </c>
      <c r="AA42" s="6">
        <f t="shared" ca="1" si="11"/>
        <v>4</v>
      </c>
    </row>
    <row r="43" spans="2:27">
      <c r="B43" s="1174">
        <f t="shared" si="13"/>
        <v>32</v>
      </c>
      <c r="C43" s="1189" t="s">
        <v>132</v>
      </c>
      <c r="D43" s="20"/>
      <c r="E43" s="20"/>
      <c r="F43" s="20"/>
      <c r="G43" s="20"/>
      <c r="H43" s="20"/>
      <c r="I43" s="1175"/>
      <c r="K43">
        <f t="shared" ca="1" si="0"/>
        <v>145</v>
      </c>
      <c r="L43">
        <f t="shared" ca="1" si="1"/>
        <v>152</v>
      </c>
      <c r="M43">
        <f t="shared" ca="1" si="2"/>
        <v>103</v>
      </c>
      <c r="N43">
        <f t="shared" ca="1" si="3"/>
        <v>129</v>
      </c>
      <c r="O43">
        <f t="shared" ca="1" si="4"/>
        <v>64</v>
      </c>
      <c r="P43">
        <f t="shared" ca="1" si="5"/>
        <v>53</v>
      </c>
      <c r="Q43" s="6">
        <f t="shared" ca="1" si="14"/>
        <v>29101</v>
      </c>
      <c r="R43" s="6">
        <f t="shared" ca="1" si="15"/>
        <v>25644</v>
      </c>
      <c r="S43" s="6">
        <f t="shared" ca="1" si="15"/>
        <v>14238</v>
      </c>
      <c r="T43" s="6">
        <f t="shared" ca="1" si="15"/>
        <v>43210</v>
      </c>
      <c r="U43" s="6">
        <f t="shared" ca="1" si="15"/>
        <v>22259</v>
      </c>
      <c r="V43" s="6" t="str">
        <f t="shared" si="12"/>
        <v>fn_MAX</v>
      </c>
      <c r="W43" s="6">
        <f t="shared" ca="1" si="7"/>
        <v>3</v>
      </c>
      <c r="X43" s="6">
        <f t="shared" ca="1" si="8"/>
        <v>2</v>
      </c>
      <c r="Y43" s="6">
        <f t="shared" ca="1" si="9"/>
        <v>20</v>
      </c>
      <c r="Z43" s="6">
        <f t="shared" ca="1" si="10"/>
        <v>0</v>
      </c>
      <c r="AA43" s="6">
        <f t="shared" ca="1" si="11"/>
        <v>9</v>
      </c>
    </row>
    <row r="44" spans="2:27">
      <c r="B44" s="1174">
        <f t="shared" si="13"/>
        <v>33</v>
      </c>
      <c r="C44" s="20" t="s">
        <v>445</v>
      </c>
      <c r="D44" s="20">
        <f>fn_OFFSET!M20</f>
        <v>2</v>
      </c>
      <c r="E44" s="20">
        <f>fn_OFFSET!F83</f>
        <v>2</v>
      </c>
      <c r="F44" s="20">
        <f>fn_OFFSET!F101</f>
        <v>4</v>
      </c>
      <c r="G44" s="20">
        <f>fn_OFFSET!F175</f>
        <v>2</v>
      </c>
      <c r="H44" s="20"/>
      <c r="I44" s="1175"/>
      <c r="K44">
        <f t="shared" ca="1" si="0"/>
        <v>143</v>
      </c>
      <c r="L44">
        <f t="shared" ca="1" si="1"/>
        <v>150</v>
      </c>
      <c r="M44">
        <f t="shared" ca="1" si="2"/>
        <v>99</v>
      </c>
      <c r="N44">
        <f t="shared" ca="1" si="3"/>
        <v>127</v>
      </c>
      <c r="O44">
        <f t="shared" ca="1" si="4"/>
        <v>64</v>
      </c>
      <c r="P44">
        <f t="shared" ca="1" si="5"/>
        <v>53</v>
      </c>
      <c r="Q44" s="6">
        <f t="shared" ca="1" si="14"/>
        <v>28651</v>
      </c>
      <c r="R44" s="6">
        <f t="shared" ca="1" si="15"/>
        <v>25026</v>
      </c>
      <c r="S44" s="6">
        <f t="shared" ca="1" si="15"/>
        <v>14016</v>
      </c>
      <c r="T44" s="6">
        <f t="shared" ca="1" si="15"/>
        <v>42516</v>
      </c>
      <c r="U44" s="6">
        <f t="shared" ca="1" si="15"/>
        <v>21921</v>
      </c>
      <c r="V44" s="6" t="str">
        <f t="shared" si="12"/>
        <v>fn_OFFSET</v>
      </c>
      <c r="W44" s="6">
        <f t="shared" ca="1" si="7"/>
        <v>4</v>
      </c>
      <c r="X44" s="6">
        <f t="shared" ca="1" si="8"/>
        <v>27</v>
      </c>
      <c r="Y44" s="6">
        <f t="shared" ca="1" si="9"/>
        <v>25</v>
      </c>
      <c r="Z44" s="6">
        <f t="shared" ca="1" si="10"/>
        <v>13</v>
      </c>
      <c r="AA44" s="6">
        <f t="shared" ca="1" si="11"/>
        <v>26</v>
      </c>
    </row>
    <row r="45" spans="2:27">
      <c r="B45" s="1174">
        <f t="shared" si="13"/>
        <v>34</v>
      </c>
      <c r="C45" s="1189" t="s">
        <v>133</v>
      </c>
      <c r="D45" s="20"/>
      <c r="E45" s="20"/>
      <c r="F45" s="20"/>
      <c r="G45" s="20"/>
      <c r="H45" s="20"/>
      <c r="I45" s="1175"/>
      <c r="K45">
        <f t="shared" ca="1" si="0"/>
        <v>145</v>
      </c>
      <c r="L45">
        <f t="shared" ca="1" si="1"/>
        <v>152</v>
      </c>
      <c r="M45">
        <f t="shared" ca="1" si="2"/>
        <v>103</v>
      </c>
      <c r="N45">
        <f t="shared" ca="1" si="3"/>
        <v>129</v>
      </c>
      <c r="O45">
        <f t="shared" ca="1" si="4"/>
        <v>64</v>
      </c>
      <c r="P45">
        <f t="shared" ca="1" si="5"/>
        <v>53</v>
      </c>
      <c r="Q45" s="6">
        <f t="shared" ca="1" si="14"/>
        <v>29101</v>
      </c>
      <c r="R45" s="6">
        <f t="shared" ca="1" si="15"/>
        <v>25644</v>
      </c>
      <c r="S45" s="6">
        <f t="shared" ca="1" si="15"/>
        <v>14238</v>
      </c>
      <c r="T45" s="6">
        <f t="shared" ca="1" si="15"/>
        <v>43210</v>
      </c>
      <c r="U45" s="6">
        <f t="shared" ca="1" si="15"/>
        <v>22259</v>
      </c>
      <c r="V45" s="6" t="str">
        <f t="shared" si="12"/>
        <v>fn_OR</v>
      </c>
      <c r="W45" s="6">
        <f t="shared" ca="1" si="7"/>
        <v>24</v>
      </c>
      <c r="X45" s="6">
        <f t="shared" ca="1" si="8"/>
        <v>23</v>
      </c>
      <c r="Y45" s="6">
        <f t="shared" ca="1" si="9"/>
        <v>9</v>
      </c>
      <c r="Z45" s="6">
        <f t="shared" ca="1" si="10"/>
        <v>21</v>
      </c>
      <c r="AA45" s="6">
        <f t="shared" ca="1" si="11"/>
        <v>30</v>
      </c>
    </row>
    <row r="46" spans="2:27">
      <c r="B46" s="1174">
        <f t="shared" si="13"/>
        <v>35</v>
      </c>
      <c r="C46" s="1189" t="s">
        <v>1650</v>
      </c>
      <c r="D46" s="20"/>
      <c r="E46" s="20"/>
      <c r="F46" s="20"/>
      <c r="G46" s="20"/>
      <c r="H46" s="20"/>
      <c r="I46" s="1175"/>
      <c r="K46">
        <f t="shared" ca="1" si="0"/>
        <v>145</v>
      </c>
      <c r="L46">
        <f t="shared" ca="1" si="1"/>
        <v>152</v>
      </c>
      <c r="M46">
        <f t="shared" ca="1" si="2"/>
        <v>103</v>
      </c>
      <c r="N46">
        <f t="shared" ca="1" si="3"/>
        <v>129</v>
      </c>
      <c r="O46">
        <f t="shared" ca="1" si="4"/>
        <v>64</v>
      </c>
      <c r="P46">
        <f t="shared" ca="1" si="5"/>
        <v>53</v>
      </c>
      <c r="Q46" s="6">
        <f t="shared" ca="1" si="14"/>
        <v>29101</v>
      </c>
      <c r="R46" s="6">
        <f t="shared" ref="R46:U59" ca="1" si="16">SUMPRODUCT(OFFSET($K$5:$P$5,R$11-1,0),$K46:$P46)</f>
        <v>25644</v>
      </c>
      <c r="S46" s="6">
        <f t="shared" ca="1" si="16"/>
        <v>14238</v>
      </c>
      <c r="T46" s="6">
        <f t="shared" ca="1" si="16"/>
        <v>43210</v>
      </c>
      <c r="U46" s="6">
        <f t="shared" ca="1" si="16"/>
        <v>22259</v>
      </c>
      <c r="V46" s="6" t="str">
        <f t="shared" si="12"/>
        <v>fn_SUM</v>
      </c>
      <c r="W46" s="6">
        <f t="shared" ca="1" si="7"/>
        <v>11</v>
      </c>
      <c r="X46" s="6">
        <f t="shared" ca="1" si="8"/>
        <v>10</v>
      </c>
      <c r="Y46" s="6">
        <f t="shared" ca="1" si="9"/>
        <v>28</v>
      </c>
      <c r="Z46" s="6">
        <f t="shared" ca="1" si="10"/>
        <v>8</v>
      </c>
      <c r="AA46" s="6">
        <f t="shared" ca="1" si="11"/>
        <v>17</v>
      </c>
    </row>
    <row r="47" spans="2:27">
      <c r="B47" s="1174">
        <f t="shared" si="13"/>
        <v>36</v>
      </c>
      <c r="C47" s="1189" t="s">
        <v>1651</v>
      </c>
      <c r="D47" s="20"/>
      <c r="E47" s="20"/>
      <c r="F47" s="20"/>
      <c r="G47" s="20"/>
      <c r="H47" s="20"/>
      <c r="I47" s="1175"/>
      <c r="K47">
        <f t="shared" ca="1" si="0"/>
        <v>145</v>
      </c>
      <c r="L47">
        <f t="shared" ca="1" si="1"/>
        <v>152</v>
      </c>
      <c r="M47">
        <f t="shared" ca="1" si="2"/>
        <v>103</v>
      </c>
      <c r="N47">
        <f t="shared" ca="1" si="3"/>
        <v>129</v>
      </c>
      <c r="O47">
        <f t="shared" ca="1" si="4"/>
        <v>64</v>
      </c>
      <c r="P47">
        <f t="shared" ca="1" si="5"/>
        <v>53</v>
      </c>
      <c r="Q47" s="6">
        <f t="shared" ca="1" si="14"/>
        <v>29101</v>
      </c>
      <c r="R47" s="6">
        <f t="shared" ca="1" si="16"/>
        <v>25644</v>
      </c>
      <c r="S47" s="6">
        <f t="shared" ca="1" si="16"/>
        <v>14238</v>
      </c>
      <c r="T47" s="6">
        <f t="shared" ca="1" si="16"/>
        <v>43210</v>
      </c>
      <c r="U47" s="6">
        <f t="shared" ca="1" si="16"/>
        <v>22259</v>
      </c>
      <c r="V47" s="6" t="str">
        <f t="shared" si="12"/>
        <v>fn_SUMPRODUCT</v>
      </c>
      <c r="W47" s="6">
        <f t="shared" ca="1" si="7"/>
        <v>21</v>
      </c>
      <c r="X47" s="6">
        <f t="shared" ca="1" si="8"/>
        <v>20</v>
      </c>
      <c r="Y47" s="6">
        <f t="shared" ca="1" si="9"/>
        <v>6</v>
      </c>
      <c r="Z47" s="6">
        <f t="shared" ca="1" si="10"/>
        <v>18</v>
      </c>
      <c r="AA47" s="6">
        <f t="shared" ca="1" si="11"/>
        <v>27</v>
      </c>
    </row>
    <row r="48" spans="2:27">
      <c r="B48" s="1174">
        <f t="shared" si="13"/>
        <v>37</v>
      </c>
      <c r="C48" s="20" t="s">
        <v>446</v>
      </c>
      <c r="D48" s="1177">
        <f>CODE(fn_VLOOKUP!F202)-CODE("A")</f>
        <v>5</v>
      </c>
      <c r="E48" s="20">
        <f>IF(fn_VLOOKUP!F204,1,0)</f>
        <v>0</v>
      </c>
      <c r="F48" s="20"/>
      <c r="G48" s="20"/>
      <c r="H48" s="20"/>
      <c r="I48" s="1175"/>
      <c r="K48">
        <f t="shared" ca="1" si="0"/>
        <v>140</v>
      </c>
      <c r="L48">
        <f t="shared" ca="1" si="1"/>
        <v>152</v>
      </c>
      <c r="M48">
        <f t="shared" ca="1" si="2"/>
        <v>103</v>
      </c>
      <c r="N48">
        <f t="shared" ca="1" si="3"/>
        <v>129</v>
      </c>
      <c r="O48">
        <f t="shared" ca="1" si="4"/>
        <v>64</v>
      </c>
      <c r="P48">
        <f t="shared" ca="1" si="5"/>
        <v>53</v>
      </c>
      <c r="Q48" s="6">
        <f t="shared" ca="1" si="14"/>
        <v>28546</v>
      </c>
      <c r="R48" s="6">
        <f t="shared" ca="1" si="16"/>
        <v>25359</v>
      </c>
      <c r="S48" s="6">
        <f t="shared" ca="1" si="16"/>
        <v>14123</v>
      </c>
      <c r="T48" s="6">
        <f t="shared" ca="1" si="16"/>
        <v>42445</v>
      </c>
      <c r="U48" s="6">
        <f t="shared" ca="1" si="16"/>
        <v>21764</v>
      </c>
      <c r="V48" s="6" t="str">
        <f t="shared" si="12"/>
        <v>fn_VLOOKUP</v>
      </c>
      <c r="W48" s="6">
        <f t="shared" ca="1" si="7"/>
        <v>13</v>
      </c>
      <c r="X48" s="6">
        <f t="shared" ca="1" si="8"/>
        <v>26</v>
      </c>
      <c r="Y48" s="6">
        <f t="shared" ca="1" si="9"/>
        <v>22</v>
      </c>
      <c r="Z48" s="6">
        <f t="shared" ca="1" si="10"/>
        <v>24</v>
      </c>
      <c r="AA48" s="6">
        <f t="shared" ca="1" si="11"/>
        <v>15</v>
      </c>
    </row>
    <row r="49" spans="1:27">
      <c r="B49" s="1174">
        <f t="shared" si="13"/>
        <v>38</v>
      </c>
      <c r="C49" s="1189" t="s">
        <v>1652</v>
      </c>
      <c r="D49" s="1177">
        <f>Combine_1!E63</f>
        <v>1</v>
      </c>
      <c r="E49" s="20"/>
      <c r="F49" s="20"/>
      <c r="G49" s="20"/>
      <c r="H49" s="20"/>
      <c r="I49" s="1175"/>
      <c r="K49">
        <f t="shared" ca="1" si="0"/>
        <v>144</v>
      </c>
      <c r="L49">
        <f t="shared" ca="1" si="1"/>
        <v>152</v>
      </c>
      <c r="M49">
        <f t="shared" ca="1" si="2"/>
        <v>103</v>
      </c>
      <c r="N49">
        <f t="shared" ca="1" si="3"/>
        <v>129</v>
      </c>
      <c r="O49">
        <f t="shared" ca="1" si="4"/>
        <v>64</v>
      </c>
      <c r="P49">
        <f t="shared" ca="1" si="5"/>
        <v>53</v>
      </c>
      <c r="Q49" s="6">
        <f t="shared" ca="1" si="14"/>
        <v>28990</v>
      </c>
      <c r="R49" s="6">
        <f t="shared" ca="1" si="16"/>
        <v>25587</v>
      </c>
      <c r="S49" s="6">
        <f t="shared" ca="1" si="16"/>
        <v>14215</v>
      </c>
      <c r="T49" s="6">
        <f t="shared" ca="1" si="16"/>
        <v>43057</v>
      </c>
      <c r="U49" s="6">
        <f t="shared" ca="1" si="16"/>
        <v>22160</v>
      </c>
      <c r="V49" s="6" t="str">
        <f t="shared" si="12"/>
        <v>Combine_1</v>
      </c>
      <c r="W49" s="6">
        <f t="shared" ca="1" si="7"/>
        <v>11</v>
      </c>
      <c r="X49" s="6">
        <f t="shared" ca="1" si="8"/>
        <v>0</v>
      </c>
      <c r="Y49" s="6">
        <f t="shared" ca="1" si="9"/>
        <v>20</v>
      </c>
      <c r="Z49" s="6">
        <f t="shared" ca="1" si="10"/>
        <v>30</v>
      </c>
      <c r="AA49" s="6">
        <f t="shared" ca="1" si="11"/>
        <v>29</v>
      </c>
    </row>
    <row r="50" spans="1:27">
      <c r="B50" s="1174">
        <f t="shared" si="13"/>
        <v>39</v>
      </c>
      <c r="C50" s="1189" t="s">
        <v>1658</v>
      </c>
      <c r="D50" s="1177">
        <f>CODE(Combine_2!H12)-CODE("A")</f>
        <v>5</v>
      </c>
      <c r="E50" s="20">
        <f>CODE(Combine_2!H37)-CODE("A")</f>
        <v>5</v>
      </c>
      <c r="F50" s="20"/>
      <c r="G50" s="20"/>
      <c r="H50" s="20"/>
      <c r="I50" s="1175"/>
      <c r="K50">
        <f t="shared" ca="1" si="0"/>
        <v>140</v>
      </c>
      <c r="L50">
        <f t="shared" ca="1" si="1"/>
        <v>147</v>
      </c>
      <c r="M50">
        <f t="shared" ca="1" si="2"/>
        <v>103</v>
      </c>
      <c r="N50">
        <f t="shared" ca="1" si="3"/>
        <v>129</v>
      </c>
      <c r="O50">
        <f t="shared" ca="1" si="4"/>
        <v>64</v>
      </c>
      <c r="P50">
        <f t="shared" ca="1" si="5"/>
        <v>53</v>
      </c>
      <c r="Q50" s="6">
        <f t="shared" ca="1" si="14"/>
        <v>28261</v>
      </c>
      <c r="R50" s="6">
        <f t="shared" ca="1" si="16"/>
        <v>25244</v>
      </c>
      <c r="S50" s="6">
        <f t="shared" ca="1" si="16"/>
        <v>13898</v>
      </c>
      <c r="T50" s="6">
        <f t="shared" ca="1" si="16"/>
        <v>42060</v>
      </c>
      <c r="U50" s="6">
        <f t="shared" ca="1" si="16"/>
        <v>21649</v>
      </c>
      <c r="V50" s="6" t="str">
        <f t="shared" si="12"/>
        <v>Combine_2</v>
      </c>
      <c r="W50" s="6">
        <f t="shared" ca="1" si="7"/>
        <v>23</v>
      </c>
      <c r="X50" s="6">
        <f t="shared" ca="1" si="8"/>
        <v>14</v>
      </c>
      <c r="Y50" s="6">
        <f t="shared" ca="1" si="9"/>
        <v>28</v>
      </c>
      <c r="Z50" s="6">
        <f t="shared" ca="1" si="10"/>
        <v>30</v>
      </c>
      <c r="AA50" s="6">
        <f t="shared" ca="1" si="11"/>
        <v>3</v>
      </c>
    </row>
    <row r="51" spans="1:27">
      <c r="B51" s="1174">
        <f t="shared" si="13"/>
        <v>40</v>
      </c>
      <c r="C51" s="1189" t="s">
        <v>20</v>
      </c>
      <c r="D51" s="1177">
        <f>MATCH(Combine_3!E26,Combine_3!L28:L39,0)</f>
        <v>9</v>
      </c>
      <c r="E51" s="20">
        <f>MATCH(Combine_3!E28,Combine_3!M26:O26,0)</f>
        <v>2</v>
      </c>
      <c r="F51" s="20">
        <f>MATCH(Combine_3!E65,Combine_3!L67:L78,0)</f>
        <v>8</v>
      </c>
      <c r="G51" s="20">
        <f>MATCH(Combine_3!E67,Combine_3!M65:O65,0)</f>
        <v>2</v>
      </c>
      <c r="H51" s="20"/>
      <c r="I51" s="1175"/>
      <c r="K51">
        <f t="shared" ca="1" si="0"/>
        <v>136</v>
      </c>
      <c r="L51">
        <f t="shared" ca="1" si="1"/>
        <v>150</v>
      </c>
      <c r="M51">
        <f t="shared" ca="1" si="2"/>
        <v>95</v>
      </c>
      <c r="N51">
        <f t="shared" ca="1" si="3"/>
        <v>127</v>
      </c>
      <c r="O51">
        <f t="shared" ca="1" si="4"/>
        <v>64</v>
      </c>
      <c r="P51">
        <f t="shared" ca="1" si="5"/>
        <v>53</v>
      </c>
      <c r="Q51" s="6">
        <f t="shared" ca="1" si="14"/>
        <v>27782</v>
      </c>
      <c r="R51" s="6">
        <f t="shared" ca="1" si="16"/>
        <v>24199</v>
      </c>
      <c r="S51" s="6">
        <f t="shared" ca="1" si="16"/>
        <v>13795</v>
      </c>
      <c r="T51" s="6">
        <f t="shared" ca="1" si="16"/>
        <v>41265</v>
      </c>
      <c r="U51" s="6">
        <f t="shared" ca="1" si="16"/>
        <v>21160</v>
      </c>
      <c r="V51" s="6" t="str">
        <f t="shared" si="12"/>
        <v>Combine_3</v>
      </c>
      <c r="W51" s="6">
        <f t="shared" ca="1" si="7"/>
        <v>25</v>
      </c>
      <c r="X51" s="6">
        <f t="shared" ca="1" si="8"/>
        <v>26</v>
      </c>
      <c r="Y51" s="6">
        <f t="shared" ca="1" si="9"/>
        <v>22</v>
      </c>
      <c r="Z51" s="6">
        <f t="shared" ca="1" si="10"/>
        <v>4</v>
      </c>
      <c r="AA51" s="6">
        <f t="shared" ca="1" si="11"/>
        <v>27</v>
      </c>
    </row>
    <row r="52" spans="1:27">
      <c r="B52" s="1174">
        <f t="shared" si="13"/>
        <v>41</v>
      </c>
      <c r="C52" s="1189" t="s">
        <v>983</v>
      </c>
      <c r="D52" s="1177"/>
      <c r="E52" s="20"/>
      <c r="F52" s="20"/>
      <c r="G52" s="20"/>
      <c r="H52" s="20"/>
      <c r="I52" s="1175"/>
      <c r="K52">
        <f t="shared" ca="1" si="0"/>
        <v>145</v>
      </c>
      <c r="L52">
        <f t="shared" ca="1" si="1"/>
        <v>152</v>
      </c>
      <c r="M52">
        <f t="shared" ca="1" si="2"/>
        <v>103</v>
      </c>
      <c r="N52">
        <f t="shared" ca="1" si="3"/>
        <v>129</v>
      </c>
      <c r="O52">
        <f t="shared" ca="1" si="4"/>
        <v>64</v>
      </c>
      <c r="P52">
        <f t="shared" ca="1" si="5"/>
        <v>53</v>
      </c>
      <c r="Q52" s="6">
        <f t="shared" ca="1" si="14"/>
        <v>29101</v>
      </c>
      <c r="R52" s="6">
        <f t="shared" ca="1" si="16"/>
        <v>25644</v>
      </c>
      <c r="S52" s="6">
        <f t="shared" ca="1" si="16"/>
        <v>14238</v>
      </c>
      <c r="T52" s="6">
        <f t="shared" ca="1" si="16"/>
        <v>43210</v>
      </c>
      <c r="U52" s="6">
        <f t="shared" ca="1" si="16"/>
        <v>22259</v>
      </c>
      <c r="V52" s="6" t="str">
        <f>C52</f>
        <v>Combine_4</v>
      </c>
      <c r="W52" s="6">
        <f t="shared" ca="1" si="7"/>
        <v>29</v>
      </c>
      <c r="X52" s="6">
        <f t="shared" ca="1" si="8"/>
        <v>28</v>
      </c>
      <c r="Y52" s="6">
        <f t="shared" ca="1" si="9"/>
        <v>14</v>
      </c>
      <c r="Z52" s="6">
        <f t="shared" ca="1" si="10"/>
        <v>26</v>
      </c>
      <c r="AA52" s="6">
        <f t="shared" ca="1" si="11"/>
        <v>3</v>
      </c>
    </row>
    <row r="53" spans="1:27">
      <c r="B53" s="1174">
        <f t="shared" si="13"/>
        <v>42</v>
      </c>
      <c r="C53" s="20" t="s">
        <v>593</v>
      </c>
      <c r="D53" s="20">
        <f>Ex_1!F49-34</f>
        <v>4</v>
      </c>
      <c r="E53" s="20"/>
      <c r="F53" s="20"/>
      <c r="G53" s="20"/>
      <c r="H53" s="20"/>
      <c r="I53" s="1175"/>
      <c r="K53">
        <f t="shared" ca="1" si="0"/>
        <v>141</v>
      </c>
      <c r="L53">
        <f t="shared" ca="1" si="1"/>
        <v>152</v>
      </c>
      <c r="M53">
        <f t="shared" ca="1" si="2"/>
        <v>103</v>
      </c>
      <c r="N53">
        <f t="shared" ca="1" si="3"/>
        <v>129</v>
      </c>
      <c r="O53">
        <f t="shared" ca="1" si="4"/>
        <v>64</v>
      </c>
      <c r="P53">
        <f t="shared" ca="1" si="5"/>
        <v>53</v>
      </c>
      <c r="Q53" s="6">
        <f t="shared" ca="1" si="14"/>
        <v>28657</v>
      </c>
      <c r="R53" s="6">
        <f t="shared" ca="1" si="16"/>
        <v>25416</v>
      </c>
      <c r="S53" s="6">
        <f t="shared" ca="1" si="16"/>
        <v>14146</v>
      </c>
      <c r="T53" s="6">
        <f t="shared" ca="1" si="16"/>
        <v>42598</v>
      </c>
      <c r="U53" s="6">
        <f t="shared" ca="1" si="16"/>
        <v>21863</v>
      </c>
      <c r="V53" s="6" t="str">
        <f t="shared" si="12"/>
        <v>Ex_1</v>
      </c>
      <c r="W53" s="6">
        <f t="shared" ca="1" si="7"/>
        <v>19</v>
      </c>
      <c r="X53" s="6">
        <f t="shared" ca="1" si="8"/>
        <v>10</v>
      </c>
      <c r="Y53" s="6">
        <f t="shared" ca="1" si="9"/>
        <v>4</v>
      </c>
      <c r="Z53" s="6">
        <f t="shared" ca="1" si="10"/>
        <v>8</v>
      </c>
      <c r="AA53" s="6">
        <f t="shared" ca="1" si="11"/>
        <v>9</v>
      </c>
    </row>
    <row r="54" spans="1:27">
      <c r="B54" s="1174">
        <f t="shared" si="13"/>
        <v>43</v>
      </c>
      <c r="C54" s="20" t="s">
        <v>36</v>
      </c>
      <c r="D54" s="20">
        <f>CODE(Ex_3!H20)-CODE("A")</f>
        <v>0</v>
      </c>
      <c r="E54" s="20">
        <f>CODE(Ex_3!H21)-CODE("A")</f>
        <v>1</v>
      </c>
      <c r="F54" s="20"/>
      <c r="G54" s="20"/>
      <c r="H54" s="20"/>
      <c r="I54" s="1175"/>
      <c r="K54">
        <f t="shared" ca="1" si="0"/>
        <v>145</v>
      </c>
      <c r="L54">
        <f t="shared" ca="1" si="1"/>
        <v>151</v>
      </c>
      <c r="M54">
        <f t="shared" ca="1" si="2"/>
        <v>103</v>
      </c>
      <c r="N54">
        <f t="shared" ca="1" si="3"/>
        <v>129</v>
      </c>
      <c r="O54">
        <f t="shared" ca="1" si="4"/>
        <v>64</v>
      </c>
      <c r="P54">
        <f t="shared" ca="1" si="5"/>
        <v>53</v>
      </c>
      <c r="Q54" s="6">
        <f t="shared" ca="1" si="14"/>
        <v>29044</v>
      </c>
      <c r="R54" s="6">
        <f t="shared" ca="1" si="16"/>
        <v>25621</v>
      </c>
      <c r="S54" s="6">
        <f t="shared" ca="1" si="16"/>
        <v>14193</v>
      </c>
      <c r="T54" s="6">
        <f t="shared" ca="1" si="16"/>
        <v>43133</v>
      </c>
      <c r="U54" s="6">
        <f t="shared" ca="1" si="16"/>
        <v>22236</v>
      </c>
      <c r="V54" s="6" t="str">
        <f t="shared" si="12"/>
        <v>Ex_3</v>
      </c>
      <c r="W54" s="6">
        <f t="shared" ca="1" si="7"/>
        <v>19</v>
      </c>
      <c r="X54" s="6">
        <f t="shared" ca="1" si="8"/>
        <v>20</v>
      </c>
      <c r="Y54" s="6">
        <f t="shared" ca="1" si="9"/>
        <v>16</v>
      </c>
      <c r="Z54" s="6">
        <f t="shared" ca="1" si="10"/>
        <v>28</v>
      </c>
      <c r="AA54" s="6">
        <f t="shared" ca="1" si="11"/>
        <v>27</v>
      </c>
    </row>
    <row r="55" spans="1:27">
      <c r="B55" s="1174">
        <f t="shared" si="13"/>
        <v>44</v>
      </c>
      <c r="C55" s="20" t="s">
        <v>594</v>
      </c>
      <c r="D55" s="20">
        <f>IF(ISERROR(INT(Ex_2!F50*100)),0,INT(Ex_2!F50*100))</f>
        <v>0</v>
      </c>
      <c r="E55" s="20">
        <f>IF(ISERROR(INT(Ex_2!G50*100)),0,INT(Ex_2!G50*100))</f>
        <v>0</v>
      </c>
      <c r="F55" s="20">
        <f>IF(ISERROR(INT(Ex_2!H50*100)),0,INT(Ex_2!H50*100))</f>
        <v>0</v>
      </c>
      <c r="G55" s="20">
        <f>IF(ISERROR(INT(Ex_2!I50*100)),0,INT(Ex_2!I50*100))</f>
        <v>0</v>
      </c>
      <c r="H55" s="20">
        <f>IF(ISERROR(INT(Ex_2!J50*100)),0,INT(Ex_2!J50*100))</f>
        <v>0</v>
      </c>
      <c r="I55" s="1175"/>
      <c r="K55">
        <f t="shared" ca="1" si="0"/>
        <v>145</v>
      </c>
      <c r="L55">
        <f t="shared" ca="1" si="1"/>
        <v>152</v>
      </c>
      <c r="M55">
        <f t="shared" ca="1" si="2"/>
        <v>103</v>
      </c>
      <c r="N55">
        <f t="shared" ca="1" si="3"/>
        <v>129</v>
      </c>
      <c r="O55">
        <f t="shared" ca="1" si="4"/>
        <v>64</v>
      </c>
      <c r="P55">
        <f t="shared" ca="1" si="5"/>
        <v>53</v>
      </c>
      <c r="Q55" s="6">
        <f t="shared" ca="1" si="14"/>
        <v>29101</v>
      </c>
      <c r="R55" s="6">
        <f t="shared" ca="1" si="16"/>
        <v>25644</v>
      </c>
      <c r="S55" s="6">
        <f t="shared" ca="1" si="16"/>
        <v>14238</v>
      </c>
      <c r="T55" s="6">
        <f t="shared" ca="1" si="16"/>
        <v>43210</v>
      </c>
      <c r="U55" s="6">
        <f t="shared" ca="1" si="16"/>
        <v>22259</v>
      </c>
      <c r="V55" s="6" t="str">
        <f t="shared" si="12"/>
        <v>Ex_2</v>
      </c>
      <c r="W55" s="6">
        <f t="shared" ca="1" si="7"/>
        <v>18</v>
      </c>
      <c r="X55" s="6">
        <f t="shared" ca="1" si="8"/>
        <v>17</v>
      </c>
      <c r="Y55" s="6">
        <f t="shared" ca="1" si="9"/>
        <v>3</v>
      </c>
      <c r="Z55" s="6">
        <f t="shared" ca="1" si="10"/>
        <v>15</v>
      </c>
      <c r="AA55" s="6">
        <f t="shared" ca="1" si="11"/>
        <v>24</v>
      </c>
    </row>
    <row r="56" spans="1:27">
      <c r="B56" s="1174">
        <f t="shared" si="13"/>
        <v>45</v>
      </c>
      <c r="C56" s="1189" t="s">
        <v>25</v>
      </c>
      <c r="D56" s="20"/>
      <c r="E56" s="20"/>
      <c r="F56" s="20"/>
      <c r="G56" s="20"/>
      <c r="H56" s="20"/>
      <c r="I56" s="1175"/>
      <c r="K56">
        <f t="shared" ca="1" si="0"/>
        <v>145</v>
      </c>
      <c r="L56">
        <f t="shared" ca="1" si="1"/>
        <v>152</v>
      </c>
      <c r="M56">
        <f t="shared" ca="1" si="2"/>
        <v>103</v>
      </c>
      <c r="N56">
        <f t="shared" ca="1" si="3"/>
        <v>129</v>
      </c>
      <c r="O56">
        <f t="shared" ca="1" si="4"/>
        <v>64</v>
      </c>
      <c r="P56">
        <f t="shared" ca="1" si="5"/>
        <v>53</v>
      </c>
      <c r="Q56" s="6">
        <f t="shared" ca="1" si="14"/>
        <v>29101</v>
      </c>
      <c r="R56" s="6">
        <f t="shared" ca="1" si="16"/>
        <v>25644</v>
      </c>
      <c r="S56" s="6">
        <f t="shared" ca="1" si="16"/>
        <v>14238</v>
      </c>
      <c r="T56" s="6">
        <f t="shared" ca="1" si="16"/>
        <v>43210</v>
      </c>
      <c r="U56" s="6">
        <f t="shared" ca="1" si="16"/>
        <v>22259</v>
      </c>
      <c r="V56" s="6" t="str">
        <f>C56</f>
        <v>Ex_Status</v>
      </c>
      <c r="W56" s="6">
        <f t="shared" ca="1" si="7"/>
        <v>25</v>
      </c>
      <c r="X56" s="6">
        <f t="shared" ca="1" si="8"/>
        <v>24</v>
      </c>
      <c r="Y56" s="6">
        <f t="shared" ca="1" si="9"/>
        <v>10</v>
      </c>
      <c r="Z56" s="6">
        <f t="shared" ca="1" si="10"/>
        <v>22</v>
      </c>
      <c r="AA56" s="6">
        <f t="shared" ca="1" si="11"/>
        <v>31</v>
      </c>
    </row>
    <row r="57" spans="1:27">
      <c r="B57" s="1174">
        <f t="shared" si="13"/>
        <v>46</v>
      </c>
      <c r="C57" s="1189" t="s">
        <v>1268</v>
      </c>
      <c r="D57" s="20">
        <f>LEN(Ex_Acc_Bal!G40)</f>
        <v>0</v>
      </c>
      <c r="E57" s="20">
        <f>LEN(Ex_Acc_Bal!G42)</f>
        <v>0</v>
      </c>
      <c r="F57" s="20">
        <f>LEN(Ex_Acc_Bal!G44)</f>
        <v>0</v>
      </c>
      <c r="G57" s="20">
        <f>LEN(Ex_Acc_Bal!G46)</f>
        <v>0</v>
      </c>
      <c r="H57" s="20"/>
      <c r="I57" s="1175"/>
      <c r="K57">
        <f t="shared" ca="1" si="0"/>
        <v>145</v>
      </c>
      <c r="L57">
        <f t="shared" ca="1" si="1"/>
        <v>152</v>
      </c>
      <c r="M57">
        <f t="shared" ca="1" si="2"/>
        <v>103</v>
      </c>
      <c r="N57">
        <f t="shared" ca="1" si="3"/>
        <v>129</v>
      </c>
      <c r="O57">
        <f t="shared" ca="1" si="4"/>
        <v>64</v>
      </c>
      <c r="P57">
        <f t="shared" ca="1" si="5"/>
        <v>53</v>
      </c>
      <c r="Q57" s="6">
        <f t="shared" ca="1" si="14"/>
        <v>29101</v>
      </c>
      <c r="R57" s="6">
        <f t="shared" ca="1" si="16"/>
        <v>25644</v>
      </c>
      <c r="S57" s="6">
        <f t="shared" ca="1" si="16"/>
        <v>14238</v>
      </c>
      <c r="T57" s="6">
        <f t="shared" ca="1" si="16"/>
        <v>43210</v>
      </c>
      <c r="U57" s="6">
        <f t="shared" ca="1" si="16"/>
        <v>22259</v>
      </c>
      <c r="V57" s="6" t="str">
        <f>C57</f>
        <v>Ex_Acc_Bal</v>
      </c>
      <c r="W57" s="6">
        <f t="shared" ca="1" si="7"/>
        <v>12</v>
      </c>
      <c r="X57" s="6">
        <f t="shared" ca="1" si="8"/>
        <v>11</v>
      </c>
      <c r="Y57" s="6">
        <f t="shared" ca="1" si="9"/>
        <v>29</v>
      </c>
      <c r="Z57" s="6">
        <f t="shared" ca="1" si="10"/>
        <v>9</v>
      </c>
      <c r="AA57" s="6">
        <f t="shared" ca="1" si="11"/>
        <v>18</v>
      </c>
    </row>
    <row r="58" spans="1:27">
      <c r="B58" s="1174">
        <f t="shared" si="13"/>
        <v>47</v>
      </c>
      <c r="C58" s="1189" t="s">
        <v>1642</v>
      </c>
      <c r="D58" s="20"/>
      <c r="E58" s="20"/>
      <c r="F58" s="20"/>
      <c r="G58" s="20"/>
      <c r="H58" s="20"/>
      <c r="I58" s="1175"/>
      <c r="K58">
        <f t="shared" ca="1" si="0"/>
        <v>145</v>
      </c>
      <c r="L58">
        <f t="shared" ca="1" si="1"/>
        <v>152</v>
      </c>
      <c r="M58">
        <f t="shared" ca="1" si="2"/>
        <v>103</v>
      </c>
      <c r="N58">
        <f t="shared" ca="1" si="3"/>
        <v>129</v>
      </c>
      <c r="O58">
        <f t="shared" ca="1" si="4"/>
        <v>64</v>
      </c>
      <c r="P58">
        <f t="shared" ca="1" si="5"/>
        <v>53</v>
      </c>
      <c r="Q58" s="6">
        <f t="shared" ca="1" si="14"/>
        <v>29101</v>
      </c>
      <c r="R58" s="6">
        <f t="shared" ca="1" si="16"/>
        <v>25644</v>
      </c>
      <c r="S58" s="6">
        <f t="shared" ca="1" si="16"/>
        <v>14238</v>
      </c>
      <c r="T58" s="6">
        <f t="shared" ca="1" si="16"/>
        <v>43210</v>
      </c>
      <c r="U58" s="6">
        <f t="shared" ca="1" si="16"/>
        <v>22259</v>
      </c>
      <c r="V58" s="6" t="str">
        <f>C58</f>
        <v>Next</v>
      </c>
      <c r="W58" s="6">
        <f t="shared" ca="1" si="7"/>
        <v>16</v>
      </c>
      <c r="X58" s="6">
        <f t="shared" ca="1" si="8"/>
        <v>15</v>
      </c>
      <c r="Y58" s="6">
        <f t="shared" ca="1" si="9"/>
        <v>1</v>
      </c>
      <c r="Z58" s="6">
        <f t="shared" ca="1" si="10"/>
        <v>13</v>
      </c>
      <c r="AA58" s="6">
        <f t="shared" ca="1" si="11"/>
        <v>22</v>
      </c>
    </row>
    <row r="59" spans="1:27">
      <c r="B59" s="1174">
        <f t="shared" si="13"/>
        <v>48</v>
      </c>
      <c r="C59" s="1178" t="s">
        <v>1180</v>
      </c>
      <c r="D59" s="1179">
        <f>INT((Ex_4!F22-"1-jan-10")/30)</f>
        <v>6</v>
      </c>
      <c r="E59" s="1178"/>
      <c r="F59" s="1178"/>
      <c r="G59" s="1178"/>
      <c r="H59" s="1178"/>
      <c r="I59" s="1180"/>
      <c r="K59">
        <f t="shared" ca="1" si="0"/>
        <v>139</v>
      </c>
      <c r="L59">
        <f t="shared" ca="1" si="1"/>
        <v>152</v>
      </c>
      <c r="M59">
        <f t="shared" ca="1" si="2"/>
        <v>103</v>
      </c>
      <c r="N59">
        <f t="shared" ca="1" si="3"/>
        <v>129</v>
      </c>
      <c r="O59">
        <f t="shared" ca="1" si="4"/>
        <v>64</v>
      </c>
      <c r="P59">
        <f t="shared" ca="1" si="5"/>
        <v>53</v>
      </c>
      <c r="Q59" s="6">
        <f t="shared" ca="1" si="14"/>
        <v>28435</v>
      </c>
      <c r="R59" s="6">
        <f t="shared" ca="1" si="16"/>
        <v>25302</v>
      </c>
      <c r="S59" s="6">
        <f t="shared" ca="1" si="16"/>
        <v>14100</v>
      </c>
      <c r="T59" s="6">
        <f t="shared" ca="1" si="16"/>
        <v>42292</v>
      </c>
      <c r="U59" s="6">
        <f t="shared" ca="1" si="16"/>
        <v>21665</v>
      </c>
      <c r="V59" s="6" t="str">
        <f>C59</f>
        <v>Ex_4</v>
      </c>
      <c r="W59" s="6">
        <f t="shared" ca="1" si="7"/>
        <v>15</v>
      </c>
      <c r="X59" s="6">
        <f t="shared" ca="1" si="8"/>
        <v>18</v>
      </c>
      <c r="Y59" s="6">
        <f t="shared" ca="1" si="9"/>
        <v>16</v>
      </c>
      <c r="Z59" s="6">
        <f t="shared" ca="1" si="10"/>
        <v>16</v>
      </c>
      <c r="AA59" s="6">
        <f t="shared" ca="1" si="11"/>
        <v>29</v>
      </c>
    </row>
    <row r="60" spans="1:27">
      <c r="W60" s="6"/>
    </row>
    <row r="64" spans="1:27">
      <c r="A64" t="s">
        <v>438</v>
      </c>
      <c r="C64">
        <f>COUNTA(C67:C98)</f>
        <v>32</v>
      </c>
    </row>
    <row r="66" spans="1:3">
      <c r="B66" t="s">
        <v>82</v>
      </c>
    </row>
    <row r="67" spans="1:3">
      <c r="A67">
        <v>0</v>
      </c>
      <c r="B67">
        <f ca="1">COUNTIF($W$12:$AA$59,A67)</f>
        <v>9</v>
      </c>
      <c r="C67" t="s">
        <v>283</v>
      </c>
    </row>
    <row r="68" spans="1:3">
      <c r="A68">
        <f>A67+1</f>
        <v>1</v>
      </c>
      <c r="B68">
        <f t="shared" ref="B68:B98" ca="1" si="17">COUNTIF($W$12:$AA$59,A68)</f>
        <v>5</v>
      </c>
      <c r="C68" t="s">
        <v>1289</v>
      </c>
    </row>
    <row r="69" spans="1:3">
      <c r="A69">
        <f t="shared" ref="A69:A98" si="18">A68+1</f>
        <v>2</v>
      </c>
      <c r="B69">
        <f t="shared" ca="1" si="17"/>
        <v>6</v>
      </c>
      <c r="C69" t="s">
        <v>1293</v>
      </c>
    </row>
    <row r="70" spans="1:3">
      <c r="A70">
        <f t="shared" si="18"/>
        <v>3</v>
      </c>
      <c r="B70">
        <f t="shared" ca="1" si="17"/>
        <v>8</v>
      </c>
      <c r="C70" t="s">
        <v>1294</v>
      </c>
    </row>
    <row r="71" spans="1:3">
      <c r="A71">
        <f t="shared" si="18"/>
        <v>4</v>
      </c>
      <c r="B71">
        <f t="shared" ca="1" si="17"/>
        <v>7</v>
      </c>
      <c r="C71" t="s">
        <v>1292</v>
      </c>
    </row>
    <row r="72" spans="1:3">
      <c r="A72">
        <f t="shared" si="18"/>
        <v>5</v>
      </c>
      <c r="B72">
        <f t="shared" ca="1" si="17"/>
        <v>4</v>
      </c>
      <c r="C72" t="s">
        <v>23</v>
      </c>
    </row>
    <row r="73" spans="1:3">
      <c r="A73">
        <f t="shared" si="18"/>
        <v>6</v>
      </c>
      <c r="B73">
        <f t="shared" ca="1" si="17"/>
        <v>4</v>
      </c>
      <c r="C73" t="s">
        <v>501</v>
      </c>
    </row>
    <row r="74" spans="1:3">
      <c r="A74">
        <f t="shared" si="18"/>
        <v>7</v>
      </c>
      <c r="B74">
        <f t="shared" ca="1" si="17"/>
        <v>3</v>
      </c>
      <c r="C74" t="s">
        <v>1290</v>
      </c>
    </row>
    <row r="75" spans="1:3">
      <c r="A75">
        <f t="shared" si="18"/>
        <v>8</v>
      </c>
      <c r="B75">
        <f t="shared" ca="1" si="17"/>
        <v>9</v>
      </c>
      <c r="C75" t="s">
        <v>1291</v>
      </c>
    </row>
    <row r="76" spans="1:3">
      <c r="A76">
        <f t="shared" si="18"/>
        <v>9</v>
      </c>
      <c r="B76">
        <f t="shared" ca="1" si="17"/>
        <v>10</v>
      </c>
      <c r="C76" t="s">
        <v>162</v>
      </c>
    </row>
    <row r="77" spans="1:3">
      <c r="A77">
        <f t="shared" si="18"/>
        <v>10</v>
      </c>
      <c r="B77">
        <f t="shared" ca="1" si="17"/>
        <v>7</v>
      </c>
      <c r="C77" t="s">
        <v>165</v>
      </c>
    </row>
    <row r="78" spans="1:3">
      <c r="A78">
        <f t="shared" si="18"/>
        <v>11</v>
      </c>
      <c r="B78">
        <f t="shared" ca="1" si="17"/>
        <v>7</v>
      </c>
      <c r="C78" t="s">
        <v>167</v>
      </c>
    </row>
    <row r="79" spans="1:3">
      <c r="A79">
        <f t="shared" si="18"/>
        <v>12</v>
      </c>
      <c r="B79">
        <f t="shared" ca="1" si="17"/>
        <v>6</v>
      </c>
      <c r="C79" t="s">
        <v>156</v>
      </c>
    </row>
    <row r="80" spans="1:3">
      <c r="A80">
        <f t="shared" si="18"/>
        <v>13</v>
      </c>
      <c r="B80">
        <f t="shared" ca="1" si="17"/>
        <v>7</v>
      </c>
      <c r="C80" t="s">
        <v>477</v>
      </c>
    </row>
    <row r="81" spans="1:3">
      <c r="A81">
        <f t="shared" si="18"/>
        <v>14</v>
      </c>
      <c r="B81">
        <f t="shared" ca="1" si="17"/>
        <v>5</v>
      </c>
      <c r="C81" t="s">
        <v>158</v>
      </c>
    </row>
    <row r="82" spans="1:3">
      <c r="A82">
        <f t="shared" si="18"/>
        <v>15</v>
      </c>
      <c r="B82">
        <f t="shared" ca="1" si="17"/>
        <v>12</v>
      </c>
      <c r="C82" t="s">
        <v>157</v>
      </c>
    </row>
    <row r="83" spans="1:3">
      <c r="A83">
        <f t="shared" si="18"/>
        <v>16</v>
      </c>
      <c r="B83">
        <f t="shared" ca="1" si="17"/>
        <v>7</v>
      </c>
      <c r="C83" t="s">
        <v>160</v>
      </c>
    </row>
    <row r="84" spans="1:3">
      <c r="A84">
        <f t="shared" si="18"/>
        <v>17</v>
      </c>
      <c r="B84">
        <f t="shared" ca="1" si="17"/>
        <v>8</v>
      </c>
      <c r="C84" t="s">
        <v>161</v>
      </c>
    </row>
    <row r="85" spans="1:3">
      <c r="A85">
        <f t="shared" si="18"/>
        <v>18</v>
      </c>
      <c r="B85">
        <f t="shared" ca="1" si="17"/>
        <v>11</v>
      </c>
      <c r="C85" t="s">
        <v>1114</v>
      </c>
    </row>
    <row r="86" spans="1:3">
      <c r="A86">
        <f t="shared" si="18"/>
        <v>19</v>
      </c>
      <c r="B86">
        <f t="shared" ca="1" si="17"/>
        <v>6</v>
      </c>
      <c r="C86" t="s">
        <v>1116</v>
      </c>
    </row>
    <row r="87" spans="1:3">
      <c r="A87">
        <f t="shared" si="18"/>
        <v>20</v>
      </c>
      <c r="B87">
        <f t="shared" ca="1" si="17"/>
        <v>12</v>
      </c>
      <c r="C87" t="s">
        <v>1118</v>
      </c>
    </row>
    <row r="88" spans="1:3">
      <c r="A88">
        <f t="shared" si="18"/>
        <v>21</v>
      </c>
      <c r="B88">
        <f t="shared" ca="1" si="17"/>
        <v>9</v>
      </c>
      <c r="C88" t="s">
        <v>1115</v>
      </c>
    </row>
    <row r="89" spans="1:3">
      <c r="A89">
        <f t="shared" si="18"/>
        <v>22</v>
      </c>
      <c r="B89">
        <f t="shared" ca="1" si="17"/>
        <v>6</v>
      </c>
      <c r="C89" t="s">
        <v>1117</v>
      </c>
    </row>
    <row r="90" spans="1:3">
      <c r="A90">
        <f t="shared" si="18"/>
        <v>23</v>
      </c>
      <c r="B90">
        <f t="shared" ca="1" si="17"/>
        <v>4</v>
      </c>
      <c r="C90" t="s">
        <v>163</v>
      </c>
    </row>
    <row r="91" spans="1:3">
      <c r="A91">
        <f t="shared" si="18"/>
        <v>24</v>
      </c>
      <c r="B91">
        <f t="shared" ca="1" si="17"/>
        <v>12</v>
      </c>
      <c r="C91" t="s">
        <v>164</v>
      </c>
    </row>
    <row r="92" spans="1:3">
      <c r="A92">
        <f t="shared" si="18"/>
        <v>25</v>
      </c>
      <c r="B92">
        <f t="shared" ca="1" si="17"/>
        <v>6</v>
      </c>
      <c r="C92" t="s">
        <v>1113</v>
      </c>
    </row>
    <row r="93" spans="1:3">
      <c r="A93">
        <f t="shared" si="18"/>
        <v>26</v>
      </c>
      <c r="B93">
        <f t="shared" ca="1" si="17"/>
        <v>7</v>
      </c>
      <c r="C93" t="s">
        <v>166</v>
      </c>
    </row>
    <row r="94" spans="1:3">
      <c r="A94">
        <f t="shared" si="18"/>
        <v>27</v>
      </c>
      <c r="B94">
        <f t="shared" ca="1" si="17"/>
        <v>12</v>
      </c>
      <c r="C94" s="1445" t="s">
        <v>1664</v>
      </c>
    </row>
    <row r="95" spans="1:3">
      <c r="A95">
        <f t="shared" si="18"/>
        <v>28</v>
      </c>
      <c r="B95">
        <f t="shared" ca="1" si="17"/>
        <v>7</v>
      </c>
      <c r="C95" t="s">
        <v>1421</v>
      </c>
    </row>
    <row r="96" spans="1:3">
      <c r="A96">
        <f t="shared" si="18"/>
        <v>29</v>
      </c>
      <c r="B96">
        <f t="shared" ca="1" si="17"/>
        <v>10</v>
      </c>
      <c r="C96" t="s">
        <v>1422</v>
      </c>
    </row>
    <row r="97" spans="1:3">
      <c r="A97">
        <f t="shared" si="18"/>
        <v>30</v>
      </c>
      <c r="B97">
        <f t="shared" ca="1" si="17"/>
        <v>9</v>
      </c>
      <c r="C97" t="s">
        <v>155</v>
      </c>
    </row>
    <row r="98" spans="1:3">
      <c r="A98">
        <f t="shared" si="18"/>
        <v>31</v>
      </c>
      <c r="B98">
        <f t="shared" ca="1" si="17"/>
        <v>5</v>
      </c>
      <c r="C98" t="s">
        <v>159</v>
      </c>
    </row>
  </sheetData>
  <sheetProtection algorithmName="SHA-512" hashValue="qKRcv+5jbd0HIZZLx3fl9EQssXEX5f3ln7Bi4ZdmlAwFRBjos3n2b6QORKiPYCRyzQDh2CJDD0loc5L233VQsQ==" saltValue="F1QRIkPjCE7SvpqbvVUPfQ==" spinCount="100000" sheet="1" objects="1" scenarios="1"/>
  <mergeCells count="1">
    <mergeCell ref="B10:I10"/>
  </mergeCells>
  <phoneticPr fontId="2" type="noConversion"/>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25"/>
  <dimension ref="A1:X71"/>
  <sheetViews>
    <sheetView showRowColHeaders="0" topLeftCell="M1" workbookViewId="0"/>
  </sheetViews>
  <sheetFormatPr defaultRowHeight="12.5"/>
  <cols>
    <col min="1" max="2" width="1" customWidth="1"/>
    <col min="3" max="3" width="9.7265625" customWidth="1"/>
    <col min="8" max="8" width="10.1796875" bestFit="1" customWidth="1"/>
    <col min="15" max="15" width="27" customWidth="1"/>
    <col min="16" max="16" width="20.54296875" customWidth="1"/>
    <col min="17" max="17" width="82.54296875" bestFit="1" customWidth="1"/>
  </cols>
  <sheetData>
    <row r="1" spans="1:24" ht="13">
      <c r="A1" t="s">
        <v>58</v>
      </c>
      <c r="G1">
        <v>1</v>
      </c>
      <c r="H1">
        <v>1</v>
      </c>
      <c r="I1" t="s">
        <v>1440</v>
      </c>
      <c r="L1" t="s">
        <v>450</v>
      </c>
      <c r="O1" s="111" t="s">
        <v>1166</v>
      </c>
      <c r="P1" t="s">
        <v>1170</v>
      </c>
      <c r="Q1" t="s">
        <v>1171</v>
      </c>
    </row>
    <row r="2" spans="1:24">
      <c r="A2" t="s">
        <v>448</v>
      </c>
      <c r="G2">
        <f>G1+1</f>
        <v>2</v>
      </c>
      <c r="H2">
        <v>2</v>
      </c>
      <c r="I2" t="s">
        <v>767</v>
      </c>
      <c r="O2" t="s">
        <v>1167</v>
      </c>
      <c r="P2" t="s">
        <v>1169</v>
      </c>
      <c r="Q2" t="s">
        <v>174</v>
      </c>
    </row>
    <row r="3" spans="1:24">
      <c r="A3" t="s">
        <v>449</v>
      </c>
      <c r="G3">
        <f t="shared" ref="G3:G19" si="0">G2+1</f>
        <v>3</v>
      </c>
      <c r="H3">
        <v>20</v>
      </c>
      <c r="I3" t="s">
        <v>1447</v>
      </c>
      <c r="L3" t="s">
        <v>1359</v>
      </c>
      <c r="O3" t="s">
        <v>530</v>
      </c>
      <c r="P3" t="s">
        <v>101</v>
      </c>
      <c r="Q3" t="str">
        <f>links_evaluation</f>
        <v>Do a free on-line self-evaluation of the skills covered in this guide.</v>
      </c>
    </row>
    <row r="4" spans="1:24">
      <c r="G4">
        <f t="shared" si="0"/>
        <v>4</v>
      </c>
      <c r="H4">
        <v>3</v>
      </c>
      <c r="I4" t="s">
        <v>1359</v>
      </c>
      <c r="L4" t="s">
        <v>1384</v>
      </c>
      <c r="O4" t="s">
        <v>529</v>
      </c>
      <c r="P4" t="s">
        <v>1168</v>
      </c>
      <c r="Q4" t="e">
        <f>links_updates</f>
        <v>#REF!</v>
      </c>
      <c r="R4" t="s">
        <v>636</v>
      </c>
      <c r="S4">
        <f>version</f>
        <v>1.02</v>
      </c>
    </row>
    <row r="5" spans="1:24">
      <c r="G5">
        <f t="shared" si="0"/>
        <v>5</v>
      </c>
      <c r="H5">
        <v>4</v>
      </c>
      <c r="I5" t="s">
        <v>1384</v>
      </c>
      <c r="L5" t="s">
        <v>1385</v>
      </c>
      <c r="O5" t="s">
        <v>531</v>
      </c>
      <c r="P5" t="s">
        <v>1394</v>
      </c>
      <c r="Q5" t="str">
        <f>links_workshops</f>
        <v>Look at workshops we offer that cover in more depth the concepts touched on in this guide.</v>
      </c>
    </row>
    <row r="6" spans="1:24">
      <c r="G6">
        <f t="shared" si="0"/>
        <v>6</v>
      </c>
      <c r="H6">
        <v>5</v>
      </c>
      <c r="I6" t="s">
        <v>1385</v>
      </c>
      <c r="L6" t="s">
        <v>1386</v>
      </c>
      <c r="Q6" s="1518"/>
      <c r="R6" s="1518"/>
      <c r="S6" s="1518"/>
      <c r="T6" s="1518"/>
      <c r="U6" s="1518"/>
      <c r="V6" s="1518"/>
      <c r="W6" s="1518"/>
      <c r="X6" s="1518"/>
    </row>
    <row r="7" spans="1:24">
      <c r="A7" t="s">
        <v>1506</v>
      </c>
      <c r="G7">
        <f t="shared" si="0"/>
        <v>7</v>
      </c>
      <c r="H7">
        <v>6</v>
      </c>
      <c r="I7" t="s">
        <v>1386</v>
      </c>
      <c r="L7" t="s">
        <v>1387</v>
      </c>
    </row>
    <row r="8" spans="1:24">
      <c r="A8" s="169" t="s">
        <v>366</v>
      </c>
      <c r="G8">
        <f t="shared" si="0"/>
        <v>8</v>
      </c>
      <c r="H8">
        <v>7</v>
      </c>
      <c r="I8" t="s">
        <v>1387</v>
      </c>
      <c r="L8" t="s">
        <v>1360</v>
      </c>
    </row>
    <row r="9" spans="1:24">
      <c r="A9" t="s">
        <v>1096</v>
      </c>
      <c r="G9">
        <f t="shared" si="0"/>
        <v>9</v>
      </c>
      <c r="H9">
        <v>9</v>
      </c>
      <c r="I9" t="s">
        <v>1360</v>
      </c>
      <c r="L9" t="s">
        <v>1388</v>
      </c>
    </row>
    <row r="10" spans="1:24">
      <c r="A10" t="s">
        <v>1659</v>
      </c>
      <c r="G10">
        <f t="shared" si="0"/>
        <v>10</v>
      </c>
      <c r="H10">
        <v>10</v>
      </c>
      <c r="I10" t="s">
        <v>1503</v>
      </c>
      <c r="L10" t="s">
        <v>355</v>
      </c>
    </row>
    <row r="11" spans="1:24">
      <c r="A11" t="s">
        <v>1097</v>
      </c>
      <c r="G11">
        <f t="shared" si="0"/>
        <v>11</v>
      </c>
      <c r="H11">
        <v>11</v>
      </c>
      <c r="I11" t="s">
        <v>355</v>
      </c>
      <c r="L11" t="s">
        <v>1501</v>
      </c>
    </row>
    <row r="12" spans="1:24">
      <c r="A12" t="s">
        <v>1098</v>
      </c>
      <c r="G12">
        <f t="shared" si="0"/>
        <v>12</v>
      </c>
      <c r="H12">
        <v>12</v>
      </c>
      <c r="I12" t="s">
        <v>1388</v>
      </c>
      <c r="L12" t="s">
        <v>451</v>
      </c>
    </row>
    <row r="13" spans="1:24">
      <c r="A13" s="27" t="s">
        <v>358</v>
      </c>
      <c r="G13">
        <f t="shared" si="0"/>
        <v>13</v>
      </c>
      <c r="H13">
        <v>13</v>
      </c>
      <c r="I13" t="s">
        <v>263</v>
      </c>
      <c r="L13" t="s">
        <v>378</v>
      </c>
    </row>
    <row r="14" spans="1:24">
      <c r="G14">
        <f t="shared" si="0"/>
        <v>14</v>
      </c>
      <c r="H14">
        <v>14</v>
      </c>
      <c r="I14" t="s">
        <v>1090</v>
      </c>
      <c r="L14" t="s">
        <v>452</v>
      </c>
    </row>
    <row r="15" spans="1:24">
      <c r="A15" t="s">
        <v>1050</v>
      </c>
      <c r="G15">
        <f t="shared" si="0"/>
        <v>15</v>
      </c>
      <c r="H15">
        <v>16</v>
      </c>
      <c r="I15" t="s">
        <v>8</v>
      </c>
      <c r="L15" t="s">
        <v>384</v>
      </c>
    </row>
    <row r="16" spans="1:24">
      <c r="G16">
        <f t="shared" si="0"/>
        <v>16</v>
      </c>
      <c r="H16">
        <v>17</v>
      </c>
      <c r="I16" t="s">
        <v>356</v>
      </c>
      <c r="L16" t="s">
        <v>1439</v>
      </c>
    </row>
    <row r="17" spans="1:12">
      <c r="A17" t="s">
        <v>1052</v>
      </c>
      <c r="G17">
        <f t="shared" si="0"/>
        <v>17</v>
      </c>
      <c r="H17">
        <v>8</v>
      </c>
      <c r="I17" t="s">
        <v>359</v>
      </c>
      <c r="L17" t="s">
        <v>8</v>
      </c>
    </row>
    <row r="18" spans="1:12">
      <c r="A18" t="s">
        <v>1053</v>
      </c>
      <c r="G18">
        <f t="shared" si="0"/>
        <v>18</v>
      </c>
      <c r="H18">
        <v>18</v>
      </c>
      <c r="I18" t="s">
        <v>1091</v>
      </c>
      <c r="L18" t="s">
        <v>263</v>
      </c>
    </row>
    <row r="19" spans="1:12">
      <c r="A19" t="s">
        <v>1105</v>
      </c>
      <c r="G19">
        <f t="shared" si="0"/>
        <v>19</v>
      </c>
      <c r="H19">
        <v>15</v>
      </c>
      <c r="I19" t="s">
        <v>1501</v>
      </c>
    </row>
    <row r="20" spans="1:12">
      <c r="H20">
        <v>19</v>
      </c>
    </row>
    <row r="21" spans="1:12">
      <c r="H21">
        <f>H20+1</f>
        <v>20</v>
      </c>
      <c r="I21" t="s">
        <v>1448</v>
      </c>
    </row>
    <row r="22" spans="1:12">
      <c r="H22">
        <v>24</v>
      </c>
      <c r="I22" t="s">
        <v>1563</v>
      </c>
    </row>
    <row r="23" spans="1:12">
      <c r="H23">
        <v>27</v>
      </c>
      <c r="I23" t="s">
        <v>1502</v>
      </c>
    </row>
    <row r="24" spans="1:12" ht="13">
      <c r="C24" s="111" t="s">
        <v>586</v>
      </c>
      <c r="H24">
        <v>31</v>
      </c>
      <c r="I24" t="s">
        <v>143</v>
      </c>
    </row>
    <row r="25" spans="1:12">
      <c r="H25">
        <v>34</v>
      </c>
      <c r="I25" t="s">
        <v>1535</v>
      </c>
    </row>
    <row r="26" spans="1:12">
      <c r="C26" t="s">
        <v>587</v>
      </c>
      <c r="H26">
        <v>35</v>
      </c>
      <c r="I26" t="s">
        <v>1547</v>
      </c>
    </row>
    <row r="27" spans="1:12">
      <c r="C27" t="s">
        <v>588</v>
      </c>
      <c r="H27">
        <v>37</v>
      </c>
      <c r="I27" t="s">
        <v>1389</v>
      </c>
    </row>
    <row r="28" spans="1:12">
      <c r="C28" s="2" t="s">
        <v>747</v>
      </c>
      <c r="H28">
        <f>H27+1</f>
        <v>38</v>
      </c>
      <c r="I28" t="s">
        <v>592</v>
      </c>
    </row>
    <row r="29" spans="1:12">
      <c r="C29" t="s">
        <v>748</v>
      </c>
      <c r="H29">
        <v>42</v>
      </c>
      <c r="I29" t="s">
        <v>593</v>
      </c>
    </row>
    <row r="30" spans="1:12">
      <c r="C30" t="s">
        <v>749</v>
      </c>
      <c r="H30">
        <v>45</v>
      </c>
      <c r="I30" t="s">
        <v>594</v>
      </c>
    </row>
    <row r="31" spans="1:12">
      <c r="H31">
        <f>H30+1</f>
        <v>46</v>
      </c>
      <c r="I31" t="s">
        <v>595</v>
      </c>
    </row>
    <row r="32" spans="1:12">
      <c r="H32">
        <v>49</v>
      </c>
      <c r="I32" t="s">
        <v>1199</v>
      </c>
    </row>
    <row r="33" spans="8:9">
      <c r="H33">
        <v>28</v>
      </c>
      <c r="I33" t="s">
        <v>1556</v>
      </c>
    </row>
    <row r="34" spans="8:9">
      <c r="H34">
        <v>22</v>
      </c>
      <c r="I34" t="s">
        <v>1543</v>
      </c>
    </row>
    <row r="35" spans="8:9">
      <c r="H35">
        <v>21</v>
      </c>
      <c r="I35" t="s">
        <v>1089</v>
      </c>
    </row>
    <row r="36" spans="8:9">
      <c r="H36">
        <v>25</v>
      </c>
      <c r="I36" t="s">
        <v>1088</v>
      </c>
    </row>
    <row r="37" spans="8:9">
      <c r="H37">
        <v>26</v>
      </c>
      <c r="I37" t="s">
        <v>1552</v>
      </c>
    </row>
    <row r="38" spans="8:9">
      <c r="H38">
        <v>32</v>
      </c>
      <c r="I38" t="s">
        <v>1549</v>
      </c>
    </row>
    <row r="39" spans="8:9">
      <c r="H39">
        <v>33</v>
      </c>
      <c r="I39" t="s">
        <v>1540</v>
      </c>
    </row>
    <row r="40" spans="8:9">
      <c r="H40">
        <v>23</v>
      </c>
      <c r="I40" t="s">
        <v>1546</v>
      </c>
    </row>
    <row r="41" spans="8:9">
      <c r="H41">
        <v>29</v>
      </c>
      <c r="I41" t="s">
        <v>1551</v>
      </c>
    </row>
    <row r="42" spans="8:9">
      <c r="H42">
        <v>30</v>
      </c>
      <c r="I42" t="s">
        <v>1553</v>
      </c>
    </row>
    <row r="43" spans="8:9">
      <c r="H43">
        <v>36</v>
      </c>
      <c r="I43" t="s">
        <v>1544</v>
      </c>
    </row>
    <row r="44" spans="8:9">
      <c r="H44">
        <v>43</v>
      </c>
      <c r="I44" t="s">
        <v>36</v>
      </c>
    </row>
    <row r="45" spans="8:9">
      <c r="H45">
        <v>47</v>
      </c>
      <c r="I45" t="s">
        <v>25</v>
      </c>
    </row>
    <row r="46" spans="8:9">
      <c r="H46">
        <v>46</v>
      </c>
      <c r="I46" t="s">
        <v>1180</v>
      </c>
    </row>
    <row r="47" spans="8:9">
      <c r="H47">
        <v>38</v>
      </c>
      <c r="I47" t="s">
        <v>1652</v>
      </c>
    </row>
    <row r="48" spans="8:9">
      <c r="H48">
        <v>39</v>
      </c>
      <c r="I48" t="s">
        <v>1658</v>
      </c>
    </row>
    <row r="49" spans="3:9">
      <c r="H49">
        <v>40</v>
      </c>
      <c r="I49" t="s">
        <v>20</v>
      </c>
    </row>
    <row r="50" spans="3:9">
      <c r="H50">
        <v>48</v>
      </c>
      <c r="I50" t="s">
        <v>1642</v>
      </c>
    </row>
    <row r="51" spans="3:9">
      <c r="H51">
        <v>41</v>
      </c>
      <c r="I51" t="s">
        <v>983</v>
      </c>
    </row>
    <row r="52" spans="3:9">
      <c r="H52">
        <v>44</v>
      </c>
      <c r="I52" t="s">
        <v>1268</v>
      </c>
    </row>
    <row r="53" spans="3:9">
      <c r="H53">
        <f t="shared" ref="H53:H61" si="1">H52+1</f>
        <v>45</v>
      </c>
    </row>
    <row r="54" spans="3:9">
      <c r="H54">
        <f t="shared" si="1"/>
        <v>46</v>
      </c>
    </row>
    <row r="55" spans="3:9">
      <c r="H55">
        <f t="shared" si="1"/>
        <v>47</v>
      </c>
    </row>
    <row r="56" spans="3:9">
      <c r="H56">
        <f t="shared" si="1"/>
        <v>48</v>
      </c>
    </row>
    <row r="57" spans="3:9">
      <c r="H57">
        <f t="shared" si="1"/>
        <v>49</v>
      </c>
    </row>
    <row r="58" spans="3:9">
      <c r="H58">
        <f t="shared" si="1"/>
        <v>50</v>
      </c>
    </row>
    <row r="59" spans="3:9">
      <c r="H59">
        <f t="shared" si="1"/>
        <v>51</v>
      </c>
    </row>
    <row r="60" spans="3:9">
      <c r="H60">
        <f t="shared" si="1"/>
        <v>52</v>
      </c>
    </row>
    <row r="61" spans="3:9">
      <c r="H61">
        <f t="shared" si="1"/>
        <v>53</v>
      </c>
    </row>
    <row r="62" spans="3:9">
      <c r="H62" s="1392"/>
      <c r="I62" s="1392"/>
    </row>
    <row r="63" spans="3:9">
      <c r="H63" s="1392"/>
      <c r="I63" s="1392"/>
    </row>
    <row r="64" spans="3:9" ht="12.75" customHeight="1">
      <c r="C64" s="1392" t="s">
        <v>1054</v>
      </c>
      <c r="D64" s="1392"/>
      <c r="E64" s="1392"/>
      <c r="F64" s="1392"/>
      <c r="G64" s="1392"/>
      <c r="H64" s="1392"/>
      <c r="I64" s="1392"/>
    </row>
    <row r="65" spans="3:9">
      <c r="C65" s="1392"/>
      <c r="D65" s="1392"/>
      <c r="E65" s="1392"/>
      <c r="F65" s="1392"/>
      <c r="G65" s="1392"/>
      <c r="H65" s="1392"/>
      <c r="I65" s="1392"/>
    </row>
    <row r="66" spans="3:9">
      <c r="C66" s="1392"/>
      <c r="D66" s="1392"/>
      <c r="E66" s="1392"/>
      <c r="F66" s="1392"/>
      <c r="G66" s="1392"/>
    </row>
    <row r="67" spans="3:9">
      <c r="C67" s="1392"/>
      <c r="D67" s="1392"/>
      <c r="E67" s="1392"/>
      <c r="F67" s="1392"/>
      <c r="G67" s="1392"/>
    </row>
    <row r="69" spans="3:9">
      <c r="C69" t="s">
        <v>1177</v>
      </c>
    </row>
    <row r="70" spans="3:9">
      <c r="C70" t="s">
        <v>1178</v>
      </c>
    </row>
    <row r="71" spans="3:9">
      <c r="C71" t="s">
        <v>1179</v>
      </c>
    </row>
  </sheetData>
  <sheetProtection algorithmName="SHA-512" hashValue="NPxPhNObAywObPTIkqc1b8awATDCdibazFKZGLofJhICdH960EKOS6xJ1aEMWBGRQT02ov2LrukjlL13xUeR2g==" saltValue="etXS9dP4aBo+fOKSroGrCQ==" spinCount="100000" sheet="1" objects="1" scenarios="1"/>
  <mergeCells count="1">
    <mergeCell ref="Q6:X6"/>
  </mergeCells>
  <phoneticPr fontId="2" type="noConversion"/>
  <hyperlinks>
    <hyperlink ref="A13" r:id="rId1" xr:uid="{00000000-0004-0000-4200-000000000000}"/>
  </hyperlinks>
  <pageMargins left="0.75" right="0.75" top="1" bottom="1" header="0.5" footer="0.5"/>
  <pageSetup paperSize="9" orientation="portrait" r:id="rId2"/>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77"/>
  <sheetViews>
    <sheetView showGridLines="0" showRowColHeaders="0" workbookViewId="0"/>
  </sheetViews>
  <sheetFormatPr defaultColWidth="0" defaultRowHeight="12.5" zeroHeight="1"/>
  <cols>
    <col min="1" max="2" width="1" style="32" customWidth="1"/>
    <col min="3" max="3" width="10.7265625" style="32" customWidth="1"/>
    <col min="4" max="4" width="11.81640625" style="63" customWidth="1"/>
    <col min="5" max="6" width="10.1796875" style="32" customWidth="1"/>
    <col min="7" max="7" width="10.7265625" style="32" customWidth="1"/>
    <col min="8" max="8" width="11.81640625" style="63" customWidth="1"/>
    <col min="9" max="10" width="10.1796875" style="32" customWidth="1"/>
    <col min="11" max="11" width="10.7265625" style="32" customWidth="1"/>
    <col min="12" max="12" width="11.81640625" style="63" customWidth="1"/>
    <col min="13" max="13" width="10.54296875" style="32" customWidth="1"/>
    <col min="14" max="14" width="1.81640625" style="32" customWidth="1"/>
    <col min="15" max="16384" width="9.1796875" style="32" hidden="1"/>
  </cols>
  <sheetData>
    <row r="1" spans="2:13"/>
    <row r="2" spans="2:13">
      <c r="C2" s="103"/>
      <c r="D2" s="104"/>
      <c r="E2" s="103"/>
      <c r="F2" s="103"/>
      <c r="G2" s="1494"/>
      <c r="H2" s="1494"/>
      <c r="I2" s="1494"/>
      <c r="J2" s="103"/>
      <c r="K2" s="103"/>
      <c r="L2" s="104"/>
      <c r="M2" s="103"/>
    </row>
    <row r="3" spans="2:13" ht="16" thickBot="1">
      <c r="C3" s="416" t="s">
        <v>1386</v>
      </c>
    </row>
    <row r="4" spans="2:13" ht="12.75" customHeight="1" thickTop="1">
      <c r="C4" s="416"/>
      <c r="K4" s="1545" t="str">
        <f ca="1">OFFSET(ad_first,OFFSET(ads_top,ROW(ads_highlighting)-1,1),0)</f>
        <v>Feedback from our Visual Basic course: "Good use of examples to solidify knowledge"</v>
      </c>
      <c r="L4" s="1507"/>
      <c r="M4" s="1508"/>
    </row>
    <row r="5" spans="2:13">
      <c r="C5" s="1543" t="s">
        <v>600</v>
      </c>
      <c r="D5" s="1518"/>
      <c r="E5" s="1518"/>
      <c r="F5" s="1518"/>
      <c r="G5" s="1518"/>
      <c r="H5" s="1518"/>
      <c r="I5" s="1518"/>
      <c r="J5" s="1544"/>
      <c r="K5" s="1509"/>
      <c r="L5" s="1510"/>
      <c r="M5" s="1511"/>
    </row>
    <row r="6" spans="2:13" ht="13">
      <c r="B6" s="1438"/>
      <c r="C6" s="1518"/>
      <c r="D6" s="1518"/>
      <c r="E6" s="1518"/>
      <c r="F6" s="1518"/>
      <c r="G6" s="1518"/>
      <c r="H6" s="1518"/>
      <c r="I6" s="1518"/>
      <c r="J6" s="1544"/>
      <c r="K6" s="1509"/>
      <c r="L6" s="1510"/>
      <c r="M6" s="1511"/>
    </row>
    <row r="7" spans="2:13">
      <c r="B7" s="22"/>
      <c r="C7" s="1518"/>
      <c r="D7" s="1518"/>
      <c r="E7" s="1518"/>
      <c r="F7" s="1518"/>
      <c r="G7" s="1518"/>
      <c r="H7" s="1518"/>
      <c r="I7" s="1518"/>
      <c r="J7" s="1544"/>
      <c r="K7" s="1509"/>
      <c r="L7" s="1510"/>
      <c r="M7" s="1511"/>
    </row>
    <row r="8" spans="2:13" ht="13" thickBot="1">
      <c r="B8" s="22"/>
      <c r="C8" s="1518"/>
      <c r="D8" s="1518"/>
      <c r="E8" s="1518"/>
      <c r="F8" s="1518"/>
      <c r="G8" s="1518"/>
      <c r="H8" s="1518"/>
      <c r="I8" s="1518"/>
      <c r="J8" s="1544"/>
      <c r="K8" s="1512"/>
      <c r="L8" s="1513"/>
      <c r="M8" s="1514"/>
    </row>
    <row r="9" spans="2:13" ht="13" thickTop="1">
      <c r="B9" s="22"/>
      <c r="C9" s="1518"/>
      <c r="D9" s="1518"/>
      <c r="E9" s="1518"/>
      <c r="F9" s="1518"/>
      <c r="G9" s="1518"/>
      <c r="H9" s="1518"/>
      <c r="I9" s="1518"/>
      <c r="J9" s="1544"/>
      <c r="K9" s="1314"/>
      <c r="L9" s="1314"/>
      <c r="M9" s="1314"/>
    </row>
    <row r="10" spans="2:13">
      <c r="B10" s="22"/>
      <c r="C10" s="22"/>
      <c r="D10" s="22"/>
      <c r="E10" s="22"/>
      <c r="F10" s="22"/>
      <c r="G10" s="22"/>
      <c r="H10" s="22"/>
      <c r="I10" s="22"/>
      <c r="J10" s="22"/>
      <c r="K10" s="1310"/>
      <c r="L10" s="1311"/>
      <c r="M10" s="1311"/>
    </row>
    <row r="11" spans="2:13" ht="13">
      <c r="C11" s="128" t="str">
        <f>functions_used</f>
        <v>Spreadsheet functions used in this example</v>
      </c>
      <c r="D11" s="129"/>
      <c r="E11" s="80"/>
      <c r="F11" s="80"/>
      <c r="G11" s="80"/>
      <c r="H11" s="129"/>
      <c r="I11" s="80"/>
      <c r="J11" s="80"/>
      <c r="K11" s="80"/>
      <c r="L11" s="129"/>
      <c r="M11" s="80"/>
    </row>
    <row r="12" spans="2:13">
      <c r="C12" s="80" t="str">
        <f>functions_highlighting</f>
        <v>AND, Conditional format, COUNTIF, LARGE, LEFT, MOD, OFFSET, ROW</v>
      </c>
      <c r="D12" s="129"/>
      <c r="E12" s="80"/>
      <c r="F12" s="80"/>
      <c r="G12" s="80"/>
      <c r="H12" s="129"/>
      <c r="I12" s="80"/>
      <c r="J12" s="80"/>
      <c r="K12" s="80"/>
      <c r="L12" s="129"/>
      <c r="M12" s="80"/>
    </row>
    <row r="13" spans="2:13" ht="4.5" customHeight="1"/>
    <row r="14" spans="2:13">
      <c r="C14" s="1546" t="s">
        <v>1365</v>
      </c>
      <c r="D14" s="1546"/>
      <c r="E14" s="1546"/>
      <c r="F14" s="1546"/>
      <c r="G14" s="1546"/>
      <c r="H14" s="1546"/>
      <c r="I14" s="1546"/>
      <c r="J14" s="1546"/>
      <c r="K14" s="1546"/>
      <c r="L14" s="1546"/>
      <c r="M14" s="1546"/>
    </row>
    <row r="15" spans="2:13" ht="6.75" customHeight="1"/>
    <row r="16" spans="2:13">
      <c r="C16" s="486" t="s">
        <v>1505</v>
      </c>
      <c r="D16" s="509"/>
      <c r="E16" s="487"/>
      <c r="F16" s="487"/>
      <c r="G16" s="441">
        <v>0</v>
      </c>
      <c r="I16" s="73" t="e">
        <f ca="1">CF()</f>
        <v>#NAME?</v>
      </c>
    </row>
    <row r="17" spans="3:15" ht="6.75" customHeight="1"/>
    <row r="18" spans="3:15">
      <c r="C18" s="510" t="s">
        <v>666</v>
      </c>
      <c r="D18" s="511" t="s">
        <v>667</v>
      </c>
      <c r="E18" s="512" t="s">
        <v>668</v>
      </c>
      <c r="F18" s="63"/>
      <c r="G18" s="510" t="s">
        <v>666</v>
      </c>
      <c r="H18" s="511" t="s">
        <v>667</v>
      </c>
      <c r="I18" s="512" t="s">
        <v>668</v>
      </c>
      <c r="J18" s="63"/>
      <c r="K18" s="510" t="s">
        <v>666</v>
      </c>
      <c r="L18" s="511" t="s">
        <v>667</v>
      </c>
      <c r="M18" s="512" t="s">
        <v>668</v>
      </c>
    </row>
    <row r="19" spans="3:15">
      <c r="C19" s="513">
        <v>40148</v>
      </c>
      <c r="D19" s="514" t="s">
        <v>671</v>
      </c>
      <c r="E19" s="515">
        <v>36.74</v>
      </c>
      <c r="F19" s="429"/>
      <c r="G19" s="513">
        <v>40148</v>
      </c>
      <c r="H19" s="514" t="s">
        <v>672</v>
      </c>
      <c r="I19" s="515">
        <v>68.98</v>
      </c>
      <c r="K19" s="513">
        <v>40148</v>
      </c>
      <c r="L19" s="514" t="s">
        <v>673</v>
      </c>
      <c r="M19" s="515">
        <v>14.54</v>
      </c>
      <c r="O19" s="429"/>
    </row>
    <row r="20" spans="3:15">
      <c r="C20" s="513">
        <v>40183</v>
      </c>
      <c r="D20" s="514" t="s">
        <v>674</v>
      </c>
      <c r="E20" s="515">
        <v>3.92</v>
      </c>
      <c r="F20" s="429"/>
      <c r="G20" s="513">
        <v>40235</v>
      </c>
      <c r="H20" s="514" t="s">
        <v>675</v>
      </c>
      <c r="I20" s="515">
        <v>25.93</v>
      </c>
      <c r="K20" s="513">
        <v>40190</v>
      </c>
      <c r="L20" s="514" t="s">
        <v>676</v>
      </c>
      <c r="M20" s="515">
        <v>89.01</v>
      </c>
      <c r="O20" s="429"/>
    </row>
    <row r="21" spans="3:15">
      <c r="C21" s="513">
        <v>40213</v>
      </c>
      <c r="D21" s="514" t="s">
        <v>677</v>
      </c>
      <c r="E21" s="515">
        <v>83.02</v>
      </c>
      <c r="F21" s="429"/>
      <c r="G21" s="513">
        <v>40233</v>
      </c>
      <c r="H21" s="514" t="s">
        <v>678</v>
      </c>
      <c r="I21" s="515">
        <v>64.739999999999995</v>
      </c>
      <c r="K21" s="513">
        <v>40233</v>
      </c>
      <c r="L21" s="514" t="s">
        <v>679</v>
      </c>
      <c r="M21" s="515">
        <v>49.96</v>
      </c>
      <c r="O21" s="429"/>
    </row>
    <row r="22" spans="3:15">
      <c r="C22" s="513">
        <v>40201</v>
      </c>
      <c r="D22" s="514" t="s">
        <v>680</v>
      </c>
      <c r="E22" s="515">
        <v>2.2999999999999998</v>
      </c>
      <c r="F22" s="429"/>
      <c r="G22" s="513">
        <v>40160</v>
      </c>
      <c r="H22" s="514" t="s">
        <v>681</v>
      </c>
      <c r="I22" s="515">
        <v>52.75</v>
      </c>
      <c r="K22" s="513">
        <v>40232</v>
      </c>
      <c r="L22" s="514" t="s">
        <v>682</v>
      </c>
      <c r="M22" s="515">
        <v>77.52</v>
      </c>
      <c r="O22" s="429"/>
    </row>
    <row r="23" spans="3:15">
      <c r="C23" s="513">
        <v>40219</v>
      </c>
      <c r="D23" s="514" t="s">
        <v>683</v>
      </c>
      <c r="E23" s="515">
        <v>94.06</v>
      </c>
      <c r="F23" s="429"/>
      <c r="G23" s="513">
        <v>40153</v>
      </c>
      <c r="H23" s="514" t="s">
        <v>684</v>
      </c>
      <c r="I23" s="515">
        <v>35.869999999999997</v>
      </c>
      <c r="K23" s="513">
        <v>40194</v>
      </c>
      <c r="L23" s="514" t="s">
        <v>685</v>
      </c>
      <c r="M23" s="515">
        <v>45.08</v>
      </c>
      <c r="O23" s="429"/>
    </row>
    <row r="24" spans="3:15">
      <c r="C24" s="513">
        <v>40233</v>
      </c>
      <c r="D24" s="514" t="s">
        <v>686</v>
      </c>
      <c r="E24" s="515">
        <v>80.930000000000007</v>
      </c>
      <c r="F24" s="429"/>
      <c r="G24" s="513">
        <v>40187</v>
      </c>
      <c r="H24" s="514" t="s">
        <v>687</v>
      </c>
      <c r="I24" s="515">
        <v>95.67</v>
      </c>
      <c r="K24" s="513">
        <v>40171</v>
      </c>
      <c r="L24" s="514" t="s">
        <v>688</v>
      </c>
      <c r="M24" s="515">
        <v>65.099999999999994</v>
      </c>
      <c r="O24" s="429"/>
    </row>
    <row r="25" spans="3:15">
      <c r="C25" s="513">
        <v>40186</v>
      </c>
      <c r="D25" s="514" t="s">
        <v>689</v>
      </c>
      <c r="E25" s="515">
        <v>69.58</v>
      </c>
      <c r="F25" s="429"/>
      <c r="G25" s="513">
        <v>40222</v>
      </c>
      <c r="H25" s="514" t="s">
        <v>690</v>
      </c>
      <c r="I25" s="515">
        <v>44.01</v>
      </c>
      <c r="K25" s="513">
        <v>40222</v>
      </c>
      <c r="L25" s="514" t="s">
        <v>691</v>
      </c>
      <c r="M25" s="515">
        <v>58.66</v>
      </c>
      <c r="O25" s="429"/>
    </row>
    <row r="26" spans="3:15">
      <c r="C26" s="513">
        <v>40160</v>
      </c>
      <c r="D26" s="514" t="s">
        <v>692</v>
      </c>
      <c r="E26" s="515">
        <v>28.15</v>
      </c>
      <c r="F26" s="429"/>
      <c r="G26" s="513">
        <v>40218</v>
      </c>
      <c r="H26" s="514" t="s">
        <v>693</v>
      </c>
      <c r="I26" s="515">
        <v>91.38</v>
      </c>
      <c r="K26" s="513">
        <v>40218</v>
      </c>
      <c r="L26" s="514" t="s">
        <v>694</v>
      </c>
      <c r="M26" s="515">
        <v>87.32</v>
      </c>
      <c r="O26" s="429"/>
    </row>
    <row r="27" spans="3:15">
      <c r="C27" s="516">
        <v>40192</v>
      </c>
      <c r="D27" s="517" t="s">
        <v>695</v>
      </c>
      <c r="E27" s="518">
        <v>79.88</v>
      </c>
      <c r="F27" s="429"/>
      <c r="G27" s="516">
        <v>40184</v>
      </c>
      <c r="H27" s="517" t="s">
        <v>696</v>
      </c>
      <c r="I27" s="518">
        <v>81.849999999999994</v>
      </c>
      <c r="K27" s="516">
        <v>40168</v>
      </c>
      <c r="L27" s="517" t="s">
        <v>697</v>
      </c>
      <c r="M27" s="518">
        <v>88.07</v>
      </c>
      <c r="O27" s="429"/>
    </row>
    <row r="28" spans="3:15">
      <c r="O28" s="429"/>
    </row>
    <row r="29" spans="3:15">
      <c r="C29" s="1546" t="s">
        <v>1366</v>
      </c>
      <c r="D29" s="1546"/>
      <c r="E29" s="1546"/>
      <c r="F29" s="1546"/>
      <c r="G29" s="1546"/>
      <c r="H29" s="1546"/>
      <c r="I29" s="1546"/>
      <c r="J29" s="1546"/>
      <c r="K29" s="1546"/>
      <c r="L29" s="1546"/>
      <c r="M29" s="1546"/>
      <c r="O29" s="429"/>
    </row>
    <row r="30" spans="3:15" ht="6.75" customHeight="1">
      <c r="O30" s="429"/>
    </row>
    <row r="31" spans="3:15">
      <c r="C31" s="519"/>
      <c r="D31" s="520" t="s">
        <v>1102</v>
      </c>
      <c r="E31" s="498"/>
      <c r="F31" s="521"/>
      <c r="G31" s="270"/>
      <c r="H31" s="522" t="b">
        <v>0</v>
      </c>
      <c r="O31" s="429"/>
    </row>
    <row r="32" spans="3:15" ht="6.75" customHeight="1">
      <c r="O32" s="429"/>
    </row>
    <row r="33" spans="3:15">
      <c r="C33" s="510" t="s">
        <v>666</v>
      </c>
      <c r="D33" s="511" t="s">
        <v>667</v>
      </c>
      <c r="E33" s="523" t="s">
        <v>668</v>
      </c>
      <c r="G33" s="510" t="s">
        <v>666</v>
      </c>
      <c r="H33" s="511" t="s">
        <v>667</v>
      </c>
      <c r="I33" s="523" t="s">
        <v>668</v>
      </c>
      <c r="K33" s="510" t="s">
        <v>666</v>
      </c>
      <c r="L33" s="511" t="s">
        <v>667</v>
      </c>
      <c r="M33" s="523" t="s">
        <v>668</v>
      </c>
      <c r="O33" s="429"/>
    </row>
    <row r="34" spans="3:15">
      <c r="C34" s="513">
        <v>40148</v>
      </c>
      <c r="D34" s="524" t="s">
        <v>671</v>
      </c>
      <c r="E34" s="525">
        <v>36.74</v>
      </c>
      <c r="G34" s="513">
        <v>40148</v>
      </c>
      <c r="H34" s="524" t="s">
        <v>672</v>
      </c>
      <c r="I34" s="525">
        <v>68.98</v>
      </c>
      <c r="K34" s="513">
        <v>40148</v>
      </c>
      <c r="L34" s="524" t="s">
        <v>673</v>
      </c>
      <c r="M34" s="525">
        <v>14.54</v>
      </c>
      <c r="O34" s="429"/>
    </row>
    <row r="35" spans="3:15">
      <c r="C35" s="513">
        <v>40183</v>
      </c>
      <c r="D35" s="524" t="s">
        <v>674</v>
      </c>
      <c r="E35" s="525">
        <v>3.92</v>
      </c>
      <c r="G35" s="513">
        <v>40235</v>
      </c>
      <c r="H35" s="524" t="s">
        <v>675</v>
      </c>
      <c r="I35" s="525">
        <v>25.93</v>
      </c>
      <c r="K35" s="513">
        <v>40190</v>
      </c>
      <c r="L35" s="524" t="s">
        <v>676</v>
      </c>
      <c r="M35" s="525">
        <v>89.01</v>
      </c>
      <c r="O35" s="429"/>
    </row>
    <row r="36" spans="3:15">
      <c r="C36" s="513">
        <v>40213</v>
      </c>
      <c r="D36" s="524" t="s">
        <v>677</v>
      </c>
      <c r="E36" s="525">
        <v>83.02</v>
      </c>
      <c r="G36" s="513">
        <v>40233</v>
      </c>
      <c r="H36" s="524" t="s">
        <v>678</v>
      </c>
      <c r="I36" s="525">
        <v>64.739999999999995</v>
      </c>
      <c r="K36" s="513">
        <v>40233</v>
      </c>
      <c r="L36" s="524" t="s">
        <v>679</v>
      </c>
      <c r="M36" s="525">
        <v>49.96</v>
      </c>
      <c r="O36" s="429"/>
    </row>
    <row r="37" spans="3:15">
      <c r="C37" s="513">
        <v>40201</v>
      </c>
      <c r="D37" s="524" t="s">
        <v>680</v>
      </c>
      <c r="E37" s="525">
        <v>2.2999999999999998</v>
      </c>
      <c r="G37" s="513">
        <v>40160</v>
      </c>
      <c r="H37" s="524" t="s">
        <v>671</v>
      </c>
      <c r="I37" s="525">
        <v>52.75</v>
      </c>
      <c r="K37" s="513">
        <v>40232</v>
      </c>
      <c r="L37" s="524" t="s">
        <v>1370</v>
      </c>
      <c r="M37" s="525">
        <v>77.52</v>
      </c>
      <c r="O37" s="429"/>
    </row>
    <row r="38" spans="3:15">
      <c r="C38" s="513">
        <v>40219</v>
      </c>
      <c r="D38" s="524" t="s">
        <v>683</v>
      </c>
      <c r="E38" s="525">
        <v>94.06</v>
      </c>
      <c r="G38" s="513">
        <v>40153</v>
      </c>
      <c r="H38" s="524" t="s">
        <v>684</v>
      </c>
      <c r="I38" s="525">
        <v>35.869999999999997</v>
      </c>
      <c r="K38" s="513">
        <v>40194</v>
      </c>
      <c r="L38" s="524" t="s">
        <v>685</v>
      </c>
      <c r="M38" s="525">
        <v>45.08</v>
      </c>
      <c r="O38" s="429"/>
    </row>
    <row r="39" spans="3:15">
      <c r="C39" s="513">
        <v>40233</v>
      </c>
      <c r="D39" s="524" t="s">
        <v>686</v>
      </c>
      <c r="E39" s="525">
        <v>80.930000000000007</v>
      </c>
      <c r="G39" s="513">
        <v>40187</v>
      </c>
      <c r="H39" s="524" t="s">
        <v>687</v>
      </c>
      <c r="I39" s="525">
        <v>95.67</v>
      </c>
      <c r="K39" s="513">
        <v>40171</v>
      </c>
      <c r="L39" s="524" t="s">
        <v>688</v>
      </c>
      <c r="M39" s="525">
        <v>65.099999999999994</v>
      </c>
      <c r="O39" s="429"/>
    </row>
    <row r="40" spans="3:15">
      <c r="C40" s="513">
        <v>40186</v>
      </c>
      <c r="D40" s="524" t="s">
        <v>689</v>
      </c>
      <c r="E40" s="525">
        <v>69.58</v>
      </c>
      <c r="G40" s="513">
        <v>40222</v>
      </c>
      <c r="H40" s="524" t="s">
        <v>671</v>
      </c>
      <c r="I40" s="525">
        <v>44.01</v>
      </c>
      <c r="K40" s="513">
        <v>40222</v>
      </c>
      <c r="L40" s="524" t="s">
        <v>691</v>
      </c>
      <c r="M40" s="525">
        <v>58.66</v>
      </c>
      <c r="O40" s="429"/>
    </row>
    <row r="41" spans="3:15">
      <c r="C41" s="513">
        <v>40160</v>
      </c>
      <c r="D41" s="524" t="s">
        <v>682</v>
      </c>
      <c r="E41" s="525">
        <v>28.15</v>
      </c>
      <c r="G41" s="513">
        <v>40218</v>
      </c>
      <c r="H41" s="524" t="s">
        <v>693</v>
      </c>
      <c r="I41" s="525">
        <v>91.38</v>
      </c>
      <c r="K41" s="513">
        <v>40218</v>
      </c>
      <c r="L41" s="524" t="s">
        <v>694</v>
      </c>
      <c r="M41" s="525">
        <v>87.32</v>
      </c>
      <c r="O41" s="429"/>
    </row>
    <row r="42" spans="3:15">
      <c r="C42" s="516">
        <v>40192</v>
      </c>
      <c r="D42" s="526" t="s">
        <v>695</v>
      </c>
      <c r="E42" s="527">
        <v>79.88</v>
      </c>
      <c r="G42" s="516">
        <v>40184</v>
      </c>
      <c r="H42" s="526" t="s">
        <v>1370</v>
      </c>
      <c r="I42" s="527">
        <v>81.849999999999994</v>
      </c>
      <c r="K42" s="516">
        <v>40168</v>
      </c>
      <c r="L42" s="526" t="s">
        <v>697</v>
      </c>
      <c r="M42" s="527">
        <v>88.07</v>
      </c>
      <c r="O42" s="429"/>
    </row>
    <row r="43" spans="3:15">
      <c r="O43" s="429"/>
    </row>
    <row r="44" spans="3:15">
      <c r="C44" s="1546" t="s">
        <v>1368</v>
      </c>
      <c r="D44" s="1546"/>
      <c r="E44" s="1546"/>
      <c r="F44" s="1546"/>
      <c r="G44" s="1546"/>
      <c r="H44" s="1546"/>
      <c r="I44" s="1546"/>
      <c r="J44" s="1546"/>
      <c r="K44" s="1546"/>
      <c r="L44" s="1546"/>
      <c r="M44" s="1546"/>
      <c r="O44" s="429"/>
    </row>
    <row r="45" spans="3:15" ht="6.75" customHeight="1">
      <c r="O45" s="429"/>
    </row>
    <row r="46" spans="3:15">
      <c r="C46" s="486" t="s">
        <v>1367</v>
      </c>
      <c r="D46" s="509"/>
      <c r="E46" s="487"/>
      <c r="F46" s="487"/>
      <c r="G46" s="441" t="s">
        <v>1478</v>
      </c>
      <c r="O46" s="429"/>
    </row>
    <row r="47" spans="3:15" ht="6.75" customHeight="1">
      <c r="O47" s="429"/>
    </row>
    <row r="48" spans="3:15">
      <c r="C48" s="510" t="s">
        <v>666</v>
      </c>
      <c r="D48" s="511" t="s">
        <v>667</v>
      </c>
      <c r="E48" s="512" t="s">
        <v>668</v>
      </c>
      <c r="F48" s="63"/>
      <c r="G48" s="510" t="s">
        <v>666</v>
      </c>
      <c r="H48" s="511" t="s">
        <v>667</v>
      </c>
      <c r="I48" s="512" t="s">
        <v>668</v>
      </c>
      <c r="J48" s="63"/>
      <c r="K48" s="510" t="s">
        <v>666</v>
      </c>
      <c r="L48" s="511" t="s">
        <v>667</v>
      </c>
      <c r="M48" s="512" t="s">
        <v>668</v>
      </c>
    </row>
    <row r="49" spans="3:13">
      <c r="C49" s="513">
        <v>40148</v>
      </c>
      <c r="D49" s="528" t="s">
        <v>671</v>
      </c>
      <c r="E49" s="515">
        <v>36.74</v>
      </c>
      <c r="F49" s="429"/>
      <c r="G49" s="513">
        <v>40148</v>
      </c>
      <c r="H49" s="528" t="s">
        <v>672</v>
      </c>
      <c r="I49" s="515">
        <v>68.98</v>
      </c>
      <c r="K49" s="513">
        <v>40148</v>
      </c>
      <c r="L49" s="528" t="s">
        <v>673</v>
      </c>
      <c r="M49" s="515">
        <v>14.54</v>
      </c>
    </row>
    <row r="50" spans="3:13">
      <c r="C50" s="513">
        <v>40183</v>
      </c>
      <c r="D50" s="528" t="s">
        <v>674</v>
      </c>
      <c r="E50" s="515">
        <v>3.92</v>
      </c>
      <c r="F50" s="429"/>
      <c r="G50" s="513">
        <v>40235</v>
      </c>
      <c r="H50" s="528" t="s">
        <v>675</v>
      </c>
      <c r="I50" s="515">
        <v>25.93</v>
      </c>
      <c r="K50" s="513">
        <v>40190</v>
      </c>
      <c r="L50" s="528" t="s">
        <v>676</v>
      </c>
      <c r="M50" s="515">
        <v>89.01</v>
      </c>
    </row>
    <row r="51" spans="3:13">
      <c r="C51" s="513">
        <v>40213</v>
      </c>
      <c r="D51" s="528" t="s">
        <v>677</v>
      </c>
      <c r="E51" s="515">
        <v>83.02</v>
      </c>
      <c r="F51" s="429"/>
      <c r="G51" s="513">
        <v>40233</v>
      </c>
      <c r="H51" s="528" t="s">
        <v>678</v>
      </c>
      <c r="I51" s="515">
        <v>64.739999999999995</v>
      </c>
      <c r="K51" s="513">
        <v>40233</v>
      </c>
      <c r="L51" s="528" t="s">
        <v>679</v>
      </c>
      <c r="M51" s="515">
        <v>49.96</v>
      </c>
    </row>
    <row r="52" spans="3:13">
      <c r="C52" s="513">
        <v>40201</v>
      </c>
      <c r="D52" s="528" t="s">
        <v>680</v>
      </c>
      <c r="E52" s="515">
        <v>2.2999999999999998</v>
      </c>
      <c r="F52" s="429"/>
      <c r="G52" s="513">
        <v>40160</v>
      </c>
      <c r="H52" s="528" t="s">
        <v>681</v>
      </c>
      <c r="I52" s="515">
        <v>52.75</v>
      </c>
      <c r="K52" s="513">
        <v>40232</v>
      </c>
      <c r="L52" s="528" t="s">
        <v>682</v>
      </c>
      <c r="M52" s="515">
        <v>77.52</v>
      </c>
    </row>
    <row r="53" spans="3:13">
      <c r="C53" s="513">
        <v>40219</v>
      </c>
      <c r="D53" s="528" t="s">
        <v>683</v>
      </c>
      <c r="E53" s="515">
        <v>94.06</v>
      </c>
      <c r="F53" s="429"/>
      <c r="G53" s="513">
        <v>40153</v>
      </c>
      <c r="H53" s="528" t="s">
        <v>684</v>
      </c>
      <c r="I53" s="515">
        <v>35.869999999999997</v>
      </c>
      <c r="K53" s="513">
        <v>40194</v>
      </c>
      <c r="L53" s="528" t="s">
        <v>685</v>
      </c>
      <c r="M53" s="515">
        <v>45.08</v>
      </c>
    </row>
    <row r="54" spans="3:13">
      <c r="C54" s="513">
        <v>40233</v>
      </c>
      <c r="D54" s="528" t="s">
        <v>686</v>
      </c>
      <c r="E54" s="515">
        <v>80.930000000000007</v>
      </c>
      <c r="F54" s="429"/>
      <c r="G54" s="513">
        <v>40187</v>
      </c>
      <c r="H54" s="528" t="s">
        <v>687</v>
      </c>
      <c r="I54" s="515">
        <v>95.67</v>
      </c>
      <c r="K54" s="513">
        <v>40171</v>
      </c>
      <c r="L54" s="528" t="s">
        <v>688</v>
      </c>
      <c r="M54" s="515">
        <v>65.099999999999994</v>
      </c>
    </row>
    <row r="55" spans="3:13">
      <c r="C55" s="513">
        <v>40186</v>
      </c>
      <c r="D55" s="528" t="s">
        <v>689</v>
      </c>
      <c r="E55" s="515">
        <v>69.58</v>
      </c>
      <c r="F55" s="429"/>
      <c r="G55" s="513">
        <v>40222</v>
      </c>
      <c r="H55" s="528" t="s">
        <v>690</v>
      </c>
      <c r="I55" s="515">
        <v>44.01</v>
      </c>
      <c r="K55" s="513">
        <v>40222</v>
      </c>
      <c r="L55" s="528" t="s">
        <v>691</v>
      </c>
      <c r="M55" s="515">
        <v>58.66</v>
      </c>
    </row>
    <row r="56" spans="3:13">
      <c r="C56" s="513">
        <v>40160</v>
      </c>
      <c r="D56" s="528" t="s">
        <v>692</v>
      </c>
      <c r="E56" s="515">
        <v>28.15</v>
      </c>
      <c r="F56" s="429"/>
      <c r="G56" s="513">
        <v>40218</v>
      </c>
      <c r="H56" s="528" t="s">
        <v>693</v>
      </c>
      <c r="I56" s="515">
        <v>91.38</v>
      </c>
      <c r="K56" s="513">
        <v>40218</v>
      </c>
      <c r="L56" s="528" t="s">
        <v>694</v>
      </c>
      <c r="M56" s="515">
        <v>87.32</v>
      </c>
    </row>
    <row r="57" spans="3:13">
      <c r="C57" s="516">
        <v>40192</v>
      </c>
      <c r="D57" s="529" t="s">
        <v>695</v>
      </c>
      <c r="E57" s="518">
        <v>79.88</v>
      </c>
      <c r="F57" s="429"/>
      <c r="G57" s="516">
        <v>40184</v>
      </c>
      <c r="H57" s="529" t="s">
        <v>696</v>
      </c>
      <c r="I57" s="518">
        <v>81.849999999999994</v>
      </c>
      <c r="K57" s="516">
        <v>40168</v>
      </c>
      <c r="L57" s="529" t="s">
        <v>697</v>
      </c>
      <c r="M57" s="518">
        <v>88.07</v>
      </c>
    </row>
    <row r="58" spans="3:13"/>
    <row r="59" spans="3:13">
      <c r="C59" s="1546" t="s">
        <v>1369</v>
      </c>
      <c r="D59" s="1546"/>
      <c r="E59" s="1546"/>
      <c r="F59" s="1546"/>
      <c r="G59" s="1546"/>
      <c r="H59" s="1546"/>
      <c r="I59" s="1546"/>
      <c r="J59" s="1546"/>
      <c r="K59" s="1546"/>
      <c r="L59" s="1546"/>
      <c r="M59" s="1546"/>
    </row>
    <row r="60" spans="3:13" ht="6.75" customHeight="1"/>
    <row r="61" spans="3:13">
      <c r="C61" s="519"/>
      <c r="D61" s="530" t="s">
        <v>1103</v>
      </c>
      <c r="E61" s="521"/>
      <c r="G61" s="531" t="b">
        <v>0</v>
      </c>
    </row>
    <row r="62" spans="3:13" ht="6.75" customHeight="1"/>
    <row r="63" spans="3:13">
      <c r="C63" s="510" t="s">
        <v>666</v>
      </c>
      <c r="D63" s="511" t="s">
        <v>667</v>
      </c>
      <c r="E63" s="512" t="s">
        <v>668</v>
      </c>
      <c r="F63" s="63"/>
      <c r="G63" s="510" t="s">
        <v>666</v>
      </c>
      <c r="H63" s="511" t="s">
        <v>667</v>
      </c>
      <c r="I63" s="512" t="s">
        <v>668</v>
      </c>
      <c r="J63" s="63"/>
      <c r="K63" s="510" t="s">
        <v>666</v>
      </c>
      <c r="L63" s="511" t="s">
        <v>667</v>
      </c>
      <c r="M63" s="512" t="s">
        <v>668</v>
      </c>
    </row>
    <row r="64" spans="3:13">
      <c r="C64" s="532">
        <v>40148</v>
      </c>
      <c r="D64" s="533" t="s">
        <v>671</v>
      </c>
      <c r="E64" s="534">
        <v>36.74</v>
      </c>
      <c r="F64" s="429"/>
      <c r="G64" s="513">
        <v>40148</v>
      </c>
      <c r="H64" s="528" t="s">
        <v>672</v>
      </c>
      <c r="I64" s="515">
        <v>68.98</v>
      </c>
      <c r="K64" s="513">
        <v>40148</v>
      </c>
      <c r="L64" s="528" t="s">
        <v>673</v>
      </c>
      <c r="M64" s="515">
        <v>14.54</v>
      </c>
    </row>
    <row r="65" spans="3:13">
      <c r="C65" s="532">
        <v>40183</v>
      </c>
      <c r="D65" s="533" t="s">
        <v>674</v>
      </c>
      <c r="E65" s="534">
        <v>3.92</v>
      </c>
      <c r="F65" s="429"/>
      <c r="G65" s="513">
        <v>40235</v>
      </c>
      <c r="H65" s="528" t="s">
        <v>675</v>
      </c>
      <c r="I65" s="515">
        <v>25.93</v>
      </c>
      <c r="K65" s="513">
        <v>40190</v>
      </c>
      <c r="L65" s="528" t="s">
        <v>676</v>
      </c>
      <c r="M65" s="515">
        <v>89.01</v>
      </c>
    </row>
    <row r="66" spans="3:13">
      <c r="C66" s="532">
        <v>40213</v>
      </c>
      <c r="D66" s="533" t="s">
        <v>677</v>
      </c>
      <c r="E66" s="534">
        <v>83.02</v>
      </c>
      <c r="F66" s="429"/>
      <c r="G66" s="513">
        <v>40233</v>
      </c>
      <c r="H66" s="528" t="s">
        <v>678</v>
      </c>
      <c r="I66" s="515">
        <v>64.739999999999995</v>
      </c>
      <c r="K66" s="513">
        <v>40233</v>
      </c>
      <c r="L66" s="528" t="s">
        <v>679</v>
      </c>
      <c r="M66" s="515">
        <v>49.96</v>
      </c>
    </row>
    <row r="67" spans="3:13">
      <c r="C67" s="532">
        <v>40201</v>
      </c>
      <c r="D67" s="533" t="s">
        <v>680</v>
      </c>
      <c r="E67" s="534">
        <v>2.2999999999999998</v>
      </c>
      <c r="F67" s="429"/>
      <c r="G67" s="513">
        <v>40160</v>
      </c>
      <c r="H67" s="528" t="s">
        <v>681</v>
      </c>
      <c r="I67" s="515">
        <v>52.75</v>
      </c>
      <c r="K67" s="513">
        <v>40232</v>
      </c>
      <c r="L67" s="528" t="s">
        <v>682</v>
      </c>
      <c r="M67" s="515">
        <v>77.52</v>
      </c>
    </row>
    <row r="68" spans="3:13">
      <c r="C68" s="532">
        <v>40219</v>
      </c>
      <c r="D68" s="533" t="s">
        <v>683</v>
      </c>
      <c r="E68" s="534">
        <v>94.06</v>
      </c>
      <c r="F68" s="429"/>
      <c r="G68" s="513">
        <v>40153</v>
      </c>
      <c r="H68" s="528" t="s">
        <v>684</v>
      </c>
      <c r="I68" s="515">
        <v>35.869999999999997</v>
      </c>
      <c r="K68" s="513">
        <v>40194</v>
      </c>
      <c r="L68" s="528" t="s">
        <v>685</v>
      </c>
      <c r="M68" s="515">
        <v>45.08</v>
      </c>
    </row>
    <row r="69" spans="3:13">
      <c r="C69" s="532">
        <v>40233</v>
      </c>
      <c r="D69" s="533" t="s">
        <v>686</v>
      </c>
      <c r="E69" s="534">
        <v>80.930000000000007</v>
      </c>
      <c r="F69" s="429"/>
      <c r="G69" s="513">
        <v>40187</v>
      </c>
      <c r="H69" s="528" t="s">
        <v>687</v>
      </c>
      <c r="I69" s="515">
        <v>95.67</v>
      </c>
      <c r="K69" s="513">
        <v>40171</v>
      </c>
      <c r="L69" s="528" t="s">
        <v>688</v>
      </c>
      <c r="M69" s="515">
        <v>65.099999999999994</v>
      </c>
    </row>
    <row r="70" spans="3:13">
      <c r="C70" s="532">
        <v>40186</v>
      </c>
      <c r="D70" s="533" t="s">
        <v>689</v>
      </c>
      <c r="E70" s="534">
        <v>69.58</v>
      </c>
      <c r="F70" s="429"/>
      <c r="G70" s="513">
        <v>40222</v>
      </c>
      <c r="H70" s="528" t="s">
        <v>690</v>
      </c>
      <c r="I70" s="515">
        <v>44.01</v>
      </c>
      <c r="K70" s="513">
        <v>40222</v>
      </c>
      <c r="L70" s="528" t="s">
        <v>691</v>
      </c>
      <c r="M70" s="515">
        <v>58.66</v>
      </c>
    </row>
    <row r="71" spans="3:13">
      <c r="C71" s="532">
        <v>40160</v>
      </c>
      <c r="D71" s="533" t="s">
        <v>692</v>
      </c>
      <c r="E71" s="534">
        <v>28.15</v>
      </c>
      <c r="F71" s="429"/>
      <c r="G71" s="513">
        <v>40218</v>
      </c>
      <c r="H71" s="528" t="s">
        <v>693</v>
      </c>
      <c r="I71" s="515">
        <v>91.38</v>
      </c>
      <c r="K71" s="513">
        <v>40218</v>
      </c>
      <c r="L71" s="528" t="s">
        <v>694</v>
      </c>
      <c r="M71" s="515">
        <v>87.32</v>
      </c>
    </row>
    <row r="72" spans="3:13">
      <c r="C72" s="535">
        <v>40192</v>
      </c>
      <c r="D72" s="536" t="s">
        <v>695</v>
      </c>
      <c r="E72" s="537">
        <v>79.88</v>
      </c>
      <c r="F72" s="429"/>
      <c r="G72" s="516">
        <v>40184</v>
      </c>
      <c r="H72" s="529" t="s">
        <v>696</v>
      </c>
      <c r="I72" s="518">
        <v>81.849999999999994</v>
      </c>
      <c r="K72" s="516">
        <v>40168</v>
      </c>
      <c r="L72" s="529" t="s">
        <v>697</v>
      </c>
      <c r="M72" s="518">
        <v>88.07</v>
      </c>
    </row>
    <row r="73" spans="3:13"/>
    <row r="74" spans="3:13">
      <c r="C74" s="1454" t="str">
        <f>back_to_index</f>
        <v>Back to contents</v>
      </c>
      <c r="D74" s="1454"/>
      <c r="G74" s="1530" t="str">
        <f>page_prefix &amp; page_Highlighting &amp;page_suffix</f>
        <v>- Page 6 -</v>
      </c>
      <c r="H74" s="1530"/>
      <c r="I74" s="1530"/>
      <c r="L74" s="1485" t="str">
        <f>back_to_top</f>
        <v>Back to top</v>
      </c>
      <c r="M74" s="1485"/>
    </row>
    <row r="75" spans="3:13">
      <c r="G75" s="1530" t="str">
        <f>copyright</f>
        <v>Copyright (c) 2009 Tykoh Group Pty Limited</v>
      </c>
      <c r="H75" s="1530"/>
      <c r="I75" s="1530"/>
    </row>
    <row r="76" spans="3:13">
      <c r="G76" s="1452" t="str">
        <f>home_address</f>
        <v>www.tykoh.com</v>
      </c>
      <c r="H76" s="1452"/>
      <c r="I76" s="1452"/>
    </row>
    <row r="77" spans="3:13"/>
  </sheetData>
  <sheetProtection algorithmName="SHA-512" hashValue="T6QcKhjp/n9hWPKCN5bA018QpQ5USVqRKuQHUsvzOJJsuc+18iUHfo6IdywPo4a8tq04ZET01pPT4kXRWukdnQ==" saltValue="sH/g1ElhBelgEH7Ynb44xw==" spinCount="100000" sheet="1" objects="1" scenarios="1"/>
  <mergeCells count="12">
    <mergeCell ref="K4:M8"/>
    <mergeCell ref="G76:I76"/>
    <mergeCell ref="L74:M74"/>
    <mergeCell ref="C14:M14"/>
    <mergeCell ref="C29:M29"/>
    <mergeCell ref="C44:M44"/>
    <mergeCell ref="C59:M59"/>
    <mergeCell ref="C74:D74"/>
    <mergeCell ref="G74:I74"/>
    <mergeCell ref="G2:I2"/>
    <mergeCell ref="G75:I75"/>
    <mergeCell ref="C5:J9"/>
  </mergeCells>
  <phoneticPr fontId="2" type="noConversion"/>
  <conditionalFormatting sqref="E19:E27">
    <cfRule type="expression" dxfId="92" priority="1" stopIfTrue="1">
      <formula>AND($G$16&gt;0,$E19&gt;=LARGE(amounts,$G$16))</formula>
    </cfRule>
  </conditionalFormatting>
  <conditionalFormatting sqref="I19:I27">
    <cfRule type="expression" dxfId="91" priority="2" stopIfTrue="1">
      <formula>AND($G$16&gt;0,$I19&gt;=LARGE(amounts,$G$16))</formula>
    </cfRule>
  </conditionalFormatting>
  <conditionalFormatting sqref="M19:M27">
    <cfRule type="expression" dxfId="90" priority="3" stopIfTrue="1">
      <formula>AND($G$16&gt;0,$M19&gt;=LARGE(amounts,$G$16))</formula>
    </cfRule>
  </conditionalFormatting>
  <conditionalFormatting sqref="C64:E72">
    <cfRule type="expression" dxfId="89" priority="4" stopIfTrue="1">
      <formula>AND($G$61,MOD(ROW($C63),2)=1)</formula>
    </cfRule>
  </conditionalFormatting>
  <conditionalFormatting sqref="G64:I72 K64:M72">
    <cfRule type="expression" dxfId="88" priority="5" stopIfTrue="1">
      <formula>AND($G$61,MOD(ROW($C63),2)=1)</formula>
    </cfRule>
  </conditionalFormatting>
  <conditionalFormatting sqref="C34:E42">
    <cfRule type="expression" dxfId="87" priority="6" stopIfTrue="1">
      <formula>AND($H$31,COUNTIF(tr_1,$D34)+COUNTIF(tr_2,$D34)+COUNTIF(tr_3,$D34)&gt;1)</formula>
    </cfRule>
  </conditionalFormatting>
  <conditionalFormatting sqref="G34:I42">
    <cfRule type="expression" dxfId="86" priority="7" stopIfTrue="1">
      <formula>AND($H$31,COUNTIF(tr_1,$H34)+COUNTIF(tr_2,$H34)+COUNTIF(tr_3,$H34)&gt;1)</formula>
    </cfRule>
  </conditionalFormatting>
  <conditionalFormatting sqref="K34:M42">
    <cfRule type="expression" dxfId="85" priority="8" stopIfTrue="1">
      <formula>AND($H$31,COUNTIF(tr_1,$L34)+COUNTIF(tr_2,$L34)+COUNTIF(tr_3,$L34)&gt;1)</formula>
    </cfRule>
  </conditionalFormatting>
  <conditionalFormatting sqref="D49:D57 H49:H57 L49:L57">
    <cfRule type="expression" dxfId="84" priority="9" stopIfTrue="1">
      <formula>LEFT(D49,1)=$G$46</formula>
    </cfRule>
  </conditionalFormatting>
  <dataValidations count="2">
    <dataValidation type="list" allowBlank="1" showInputMessage="1" showErrorMessage="1" sqref="G46" xr:uid="{00000000-0002-0000-0600-000000000000}">
      <formula1>"&lt;none&gt;,A,B,C,D,E,F,G,H,I,J,K"</formula1>
    </dataValidation>
    <dataValidation type="list" allowBlank="1" showInputMessage="1" showErrorMessage="1" sqref="G16" xr:uid="{00000000-0002-0000-0600-000001000000}">
      <formula1>"0,1,2,3,4,5"</formula1>
    </dataValidation>
  </dataValidations>
  <hyperlinks>
    <hyperlink ref="L74:M74" location="hh_Highlighting" display="hh_Highlighting" xr:uid="{00000000-0004-0000-0600-000000000000}"/>
    <hyperlink ref="C74:D74" location="hh_index" display="hh_index" xr:uid="{00000000-0004-0000-0600-000001000000}"/>
    <hyperlink ref="G76:I76" r:id="rId1" display="https://www.tykoh.com/" xr:uid="{00000000-0004-0000-0600-000002000000}"/>
  </hyperlinks>
  <pageMargins left="0.75" right="0.75" top="1" bottom="1" header="0.5" footer="0.5"/>
  <pageSetup scale="71"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1266" r:id="rId5" name="Check Box 2">
              <controlPr locked="0" defaultSize="0" autoFill="0" autoLine="0" autoPict="0">
                <anchor moveWithCells="1">
                  <from>
                    <xdr:col>5</xdr:col>
                    <xdr:colOff>311150</xdr:colOff>
                    <xdr:row>29</xdr:row>
                    <xdr:rowOff>57150</xdr:rowOff>
                  </from>
                  <to>
                    <xdr:col>5</xdr:col>
                    <xdr:colOff>628650</xdr:colOff>
                    <xdr:row>31</xdr:row>
                    <xdr:rowOff>25400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2</xdr:col>
                    <xdr:colOff>330200</xdr:colOff>
                    <xdr:row>59</xdr:row>
                    <xdr:rowOff>57150</xdr:rowOff>
                  </from>
                  <to>
                    <xdr:col>2</xdr:col>
                    <xdr:colOff>647700</xdr:colOff>
                    <xdr:row>61</xdr:row>
                    <xdr:rowOff>25400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45"/>
  <sheetViews>
    <sheetView showGridLines="0" showRowColHeaders="0" workbookViewId="0"/>
  </sheetViews>
  <sheetFormatPr defaultColWidth="0" defaultRowHeight="12.5" zeroHeight="1"/>
  <cols>
    <col min="1" max="2" width="1" style="32" customWidth="1"/>
    <col min="3" max="9" width="10.81640625" style="32" customWidth="1"/>
    <col min="10" max="13" width="10.7265625" style="32" customWidth="1"/>
    <col min="14" max="14" width="1.81640625" style="32" customWidth="1"/>
    <col min="15" max="17" width="9.1796875" style="32" hidden="1" customWidth="1"/>
    <col min="18" max="19" width="10.7265625" style="32" hidden="1" customWidth="1"/>
    <col min="20" max="16384" width="9.1796875" style="32" hidden="1"/>
  </cols>
  <sheetData>
    <row r="1" spans="3:17"/>
    <row r="2" spans="3:17">
      <c r="C2" s="103"/>
      <c r="D2" s="103"/>
      <c r="E2" s="103"/>
      <c r="F2" s="1494"/>
      <c r="G2" s="1494"/>
      <c r="H2" s="1494"/>
      <c r="I2" s="1494"/>
      <c r="J2" s="103"/>
      <c r="K2" s="103"/>
      <c r="L2" s="103"/>
      <c r="M2" s="103"/>
    </row>
    <row r="3" spans="3:17" ht="16" thickBot="1">
      <c r="C3" s="416" t="s">
        <v>1387</v>
      </c>
    </row>
    <row r="4" spans="3:17" ht="13" thickTop="1">
      <c r="K4" s="1521" t="str">
        <f ca="1">OFFSET(ad_first,OFFSET(ads_top,ROW(ads_filtering)-1,1),0)</f>
        <v>Our modelling and spreadsheet skills courses can be done in one or two day modules.</v>
      </c>
      <c r="L4" s="1522"/>
      <c r="M4" s="1523"/>
    </row>
    <row r="5" spans="3:17">
      <c r="C5" s="1550" t="s">
        <v>1028</v>
      </c>
      <c r="D5" s="1518"/>
      <c r="E5" s="1518"/>
      <c r="F5" s="1518"/>
      <c r="G5" s="1518"/>
      <c r="H5" s="1518"/>
      <c r="I5" s="1518"/>
      <c r="J5" s="1518"/>
      <c r="K5" s="1524"/>
      <c r="L5" s="1525"/>
      <c r="M5" s="1526"/>
    </row>
    <row r="6" spans="3:17">
      <c r="C6" s="1518"/>
      <c r="D6" s="1518"/>
      <c r="E6" s="1518"/>
      <c r="F6" s="1518"/>
      <c r="G6" s="1518"/>
      <c r="H6" s="1518"/>
      <c r="I6" s="1518"/>
      <c r="J6" s="1518"/>
      <c r="K6" s="1524"/>
      <c r="L6" s="1525"/>
      <c r="M6" s="1526"/>
    </row>
    <row r="7" spans="3:17">
      <c r="C7" s="1518"/>
      <c r="D7" s="1518"/>
      <c r="E7" s="1518"/>
      <c r="F7" s="1518"/>
      <c r="G7" s="1518"/>
      <c r="H7" s="1518"/>
      <c r="I7" s="1518"/>
      <c r="J7" s="1518"/>
      <c r="K7" s="1524"/>
      <c r="L7" s="1525"/>
      <c r="M7" s="1526"/>
    </row>
    <row r="8" spans="3:17" ht="13" thickBot="1">
      <c r="C8" s="343"/>
      <c r="D8" s="343"/>
      <c r="E8" s="343"/>
      <c r="F8" s="343"/>
      <c r="G8" s="343"/>
      <c r="H8" s="343"/>
      <c r="I8" s="343"/>
      <c r="J8" s="343"/>
      <c r="K8" s="1527"/>
      <c r="L8" s="1528"/>
      <c r="M8" s="1529"/>
    </row>
    <row r="9" spans="3:17" ht="13.5" thickTop="1">
      <c r="C9" s="128" t="str">
        <f>functions_used</f>
        <v>Spreadsheet functions used in this example</v>
      </c>
      <c r="D9" s="80"/>
      <c r="E9" s="80"/>
      <c r="F9" s="80"/>
      <c r="G9" s="80"/>
      <c r="H9" s="80"/>
      <c r="I9" s="80"/>
      <c r="J9" s="80"/>
      <c r="K9" s="1310"/>
      <c r="L9" s="1311"/>
      <c r="M9" s="1311"/>
    </row>
    <row r="10" spans="3:17">
      <c r="C10" s="80" t="str">
        <f>functions_filtering</f>
        <v>AND, IF, ISNA, MATCH, MAX, MIN, OFFSET, ROW, SUM</v>
      </c>
      <c r="D10" s="80"/>
      <c r="E10" s="80"/>
      <c r="F10" s="80"/>
      <c r="G10" s="80"/>
      <c r="H10" s="80"/>
      <c r="I10" s="80"/>
      <c r="J10" s="80"/>
      <c r="K10" s="1319"/>
      <c r="L10" s="1319"/>
      <c r="M10" s="1319"/>
    </row>
    <row r="11" spans="3:17"/>
    <row r="12" spans="3:17">
      <c r="C12" s="1483" t="s">
        <v>770</v>
      </c>
      <c r="D12" s="1483"/>
      <c r="E12" s="1483"/>
      <c r="F12" s="1483"/>
      <c r="G12" s="1483"/>
      <c r="H12" s="1483"/>
      <c r="I12" s="1483"/>
      <c r="J12" s="1483"/>
      <c r="K12" s="1483"/>
      <c r="L12" s="1483"/>
      <c r="M12" s="1483"/>
      <c r="N12" s="418"/>
      <c r="O12" s="418"/>
      <c r="P12" s="418"/>
      <c r="Q12" s="418"/>
    </row>
    <row r="13" spans="3:17" ht="6" customHeight="1"/>
    <row r="14" spans="3:17">
      <c r="C14" s="419" t="s">
        <v>666</v>
      </c>
      <c r="D14" s="721" t="s">
        <v>667</v>
      </c>
      <c r="E14" s="722" t="s">
        <v>668</v>
      </c>
      <c r="F14" s="63"/>
      <c r="G14" s="419" t="s">
        <v>666</v>
      </c>
      <c r="H14" s="721" t="s">
        <v>667</v>
      </c>
      <c r="I14" s="722" t="s">
        <v>668</v>
      </c>
      <c r="J14" s="63"/>
      <c r="K14" s="419" t="s">
        <v>666</v>
      </c>
      <c r="L14" s="721" t="s">
        <v>667</v>
      </c>
      <c r="M14" s="722" t="s">
        <v>668</v>
      </c>
    </row>
    <row r="15" spans="3:17">
      <c r="C15" s="422">
        <v>40148</v>
      </c>
      <c r="D15" s="423" t="s">
        <v>671</v>
      </c>
      <c r="E15" s="424">
        <v>36.74</v>
      </c>
      <c r="F15" s="429"/>
      <c r="G15" s="422">
        <v>40148</v>
      </c>
      <c r="H15" s="423" t="s">
        <v>672</v>
      </c>
      <c r="I15" s="424">
        <v>68.98</v>
      </c>
      <c r="K15" s="422">
        <v>40148</v>
      </c>
      <c r="L15" s="423" t="s">
        <v>673</v>
      </c>
      <c r="M15" s="424">
        <v>94.54</v>
      </c>
      <c r="N15" s="429"/>
      <c r="Q15" s="429"/>
    </row>
    <row r="16" spans="3:17">
      <c r="C16" s="422">
        <v>40183</v>
      </c>
      <c r="D16" s="423" t="s">
        <v>674</v>
      </c>
      <c r="E16" s="424">
        <v>3.92</v>
      </c>
      <c r="F16" s="429"/>
      <c r="G16" s="422">
        <v>40235</v>
      </c>
      <c r="H16" s="423" t="s">
        <v>675</v>
      </c>
      <c r="I16" s="424">
        <v>25.93</v>
      </c>
      <c r="K16" s="422">
        <v>40190</v>
      </c>
      <c r="L16" s="423" t="s">
        <v>676</v>
      </c>
      <c r="M16" s="424">
        <v>89.01</v>
      </c>
      <c r="N16" s="429"/>
      <c r="Q16" s="429"/>
    </row>
    <row r="17" spans="3:17">
      <c r="C17" s="422">
        <v>40213</v>
      </c>
      <c r="D17" s="423" t="s">
        <v>677</v>
      </c>
      <c r="E17" s="424">
        <v>83.02</v>
      </c>
      <c r="F17" s="429"/>
      <c r="G17" s="422">
        <v>40233</v>
      </c>
      <c r="H17" s="423" t="s">
        <v>678</v>
      </c>
      <c r="I17" s="424">
        <v>64.739999999999995</v>
      </c>
      <c r="K17" s="422">
        <v>40233</v>
      </c>
      <c r="L17" s="423" t="s">
        <v>679</v>
      </c>
      <c r="M17" s="424">
        <v>49.96</v>
      </c>
      <c r="N17" s="429"/>
      <c r="Q17" s="429"/>
    </row>
    <row r="18" spans="3:17">
      <c r="C18" s="422">
        <v>40201</v>
      </c>
      <c r="D18" s="423" t="s">
        <v>680</v>
      </c>
      <c r="E18" s="424">
        <v>2.2999999999999998</v>
      </c>
      <c r="F18" s="429"/>
      <c r="G18" s="422">
        <v>40160</v>
      </c>
      <c r="H18" s="423" t="s">
        <v>681</v>
      </c>
      <c r="I18" s="424">
        <v>52.75</v>
      </c>
      <c r="K18" s="422">
        <v>40232</v>
      </c>
      <c r="L18" s="423" t="s">
        <v>682</v>
      </c>
      <c r="M18" s="424">
        <v>77.52</v>
      </c>
      <c r="N18" s="429"/>
      <c r="P18" s="125"/>
      <c r="Q18" s="429"/>
    </row>
    <row r="19" spans="3:17">
      <c r="C19" s="422">
        <v>40219</v>
      </c>
      <c r="D19" s="423" t="s">
        <v>683</v>
      </c>
      <c r="E19" s="424">
        <v>24.06</v>
      </c>
      <c r="F19" s="429"/>
      <c r="G19" s="422">
        <v>40153</v>
      </c>
      <c r="H19" s="423" t="s">
        <v>684</v>
      </c>
      <c r="I19" s="424">
        <v>35.869999999999997</v>
      </c>
      <c r="K19" s="422">
        <v>40194</v>
      </c>
      <c r="L19" s="423" t="s">
        <v>685</v>
      </c>
      <c r="M19" s="424">
        <v>45.08</v>
      </c>
      <c r="N19" s="429"/>
      <c r="P19" s="125"/>
      <c r="Q19" s="429"/>
    </row>
    <row r="20" spans="3:17">
      <c r="C20" s="422">
        <v>40233</v>
      </c>
      <c r="D20" s="423" t="s">
        <v>686</v>
      </c>
      <c r="E20" s="424">
        <v>80.930000000000007</v>
      </c>
      <c r="F20" s="429"/>
      <c r="G20" s="422">
        <v>40187</v>
      </c>
      <c r="H20" s="423" t="s">
        <v>687</v>
      </c>
      <c r="I20" s="424">
        <v>14.07</v>
      </c>
      <c r="K20" s="422">
        <v>40171</v>
      </c>
      <c r="L20" s="423" t="s">
        <v>688</v>
      </c>
      <c r="M20" s="424">
        <v>65.099999999999994</v>
      </c>
      <c r="N20" s="429"/>
      <c r="P20" s="125"/>
      <c r="Q20" s="429"/>
    </row>
    <row r="21" spans="3:17">
      <c r="C21" s="422">
        <v>40186</v>
      </c>
      <c r="D21" s="423" t="s">
        <v>689</v>
      </c>
      <c r="E21" s="424">
        <v>69.58</v>
      </c>
      <c r="F21" s="429"/>
      <c r="G21" s="422">
        <v>40222</v>
      </c>
      <c r="H21" s="423" t="s">
        <v>690</v>
      </c>
      <c r="I21" s="424">
        <v>44.01</v>
      </c>
      <c r="K21" s="422">
        <v>40222</v>
      </c>
      <c r="L21" s="423" t="s">
        <v>691</v>
      </c>
      <c r="M21" s="424">
        <v>58.66</v>
      </c>
      <c r="N21" s="429"/>
      <c r="P21" s="125"/>
      <c r="Q21" s="429"/>
    </row>
    <row r="22" spans="3:17">
      <c r="C22" s="422">
        <v>40160</v>
      </c>
      <c r="D22" s="423" t="s">
        <v>692</v>
      </c>
      <c r="E22" s="424">
        <v>28.15</v>
      </c>
      <c r="F22" s="429"/>
      <c r="G22" s="422">
        <v>40218</v>
      </c>
      <c r="H22" s="423" t="s">
        <v>693</v>
      </c>
      <c r="I22" s="424">
        <v>91.38</v>
      </c>
      <c r="K22" s="422">
        <v>40218</v>
      </c>
      <c r="L22" s="423" t="s">
        <v>694</v>
      </c>
      <c r="M22" s="424">
        <v>87.32</v>
      </c>
      <c r="N22" s="429"/>
      <c r="P22" s="125"/>
      <c r="Q22" s="429"/>
    </row>
    <row r="23" spans="3:17">
      <c r="C23" s="425">
        <v>40192</v>
      </c>
      <c r="D23" s="426" t="s">
        <v>695</v>
      </c>
      <c r="E23" s="427">
        <v>79.88</v>
      </c>
      <c r="F23" s="429"/>
      <c r="G23" s="425">
        <v>40184</v>
      </c>
      <c r="H23" s="426" t="s">
        <v>696</v>
      </c>
      <c r="I23" s="427">
        <v>81.849999999999994</v>
      </c>
      <c r="K23" s="425">
        <v>40168</v>
      </c>
      <c r="L23" s="426" t="s">
        <v>697</v>
      </c>
      <c r="M23" s="427">
        <v>88.07</v>
      </c>
      <c r="N23" s="429"/>
      <c r="P23" s="125"/>
      <c r="Q23" s="429"/>
    </row>
    <row r="24" spans="3:17"/>
    <row r="25" spans="3:17">
      <c r="C25" s="1483" t="s">
        <v>769</v>
      </c>
      <c r="D25" s="1483"/>
      <c r="E25" s="1483"/>
      <c r="F25" s="1483"/>
      <c r="G25" s="1483"/>
      <c r="H25" s="1483"/>
      <c r="I25" s="1483"/>
      <c r="J25" s="1483"/>
      <c r="K25" s="1483"/>
      <c r="L25" s="1483"/>
      <c r="M25" s="1483"/>
      <c r="N25" s="418"/>
      <c r="O25" s="418"/>
      <c r="P25" s="418"/>
      <c r="Q25" s="418"/>
    </row>
    <row r="26" spans="3:17" ht="6" customHeight="1">
      <c r="C26" s="417"/>
      <c r="D26" s="418"/>
      <c r="E26" s="418"/>
      <c r="F26" s="418"/>
      <c r="G26" s="418"/>
      <c r="H26" s="418"/>
      <c r="I26" s="418"/>
      <c r="J26" s="418"/>
      <c r="K26" s="418"/>
      <c r="L26" s="418"/>
      <c r="M26" s="418"/>
      <c r="N26" s="418"/>
      <c r="O26" s="418"/>
      <c r="P26" s="418"/>
      <c r="Q26" s="418"/>
    </row>
    <row r="27" spans="3:17">
      <c r="C27" s="1547" t="s">
        <v>601</v>
      </c>
      <c r="D27" s="1548"/>
      <c r="E27" s="1548"/>
      <c r="F27" s="1549"/>
      <c r="G27" s="440">
        <v>80</v>
      </c>
      <c r="H27" s="498" t="s">
        <v>1095</v>
      </c>
      <c r="I27" s="499">
        <v>50</v>
      </c>
      <c r="J27" s="83"/>
    </row>
    <row r="28" spans="3:17" ht="6" customHeight="1">
      <c r="C28" s="80"/>
      <c r="D28" s="80"/>
      <c r="E28" s="80"/>
      <c r="F28" s="80"/>
      <c r="G28" s="80"/>
      <c r="H28" s="80"/>
      <c r="I28" s="80"/>
      <c r="J28" s="80"/>
    </row>
    <row r="29" spans="3:17">
      <c r="C29" s="1483" t="s">
        <v>768</v>
      </c>
      <c r="D29" s="1483"/>
      <c r="E29" s="1483"/>
      <c r="F29" s="1483"/>
      <c r="G29" s="1483"/>
      <c r="H29" s="1483"/>
      <c r="I29" s="1483"/>
      <c r="J29" s="1483"/>
      <c r="K29" s="1483"/>
      <c r="L29" s="1483"/>
      <c r="M29" s="1483"/>
      <c r="N29" s="418"/>
      <c r="O29" s="418"/>
      <c r="P29" s="418"/>
      <c r="Q29" s="418"/>
    </row>
    <row r="30" spans="3:17" ht="6" customHeight="1">
      <c r="C30" s="417"/>
      <c r="D30" s="418"/>
      <c r="E30" s="418"/>
      <c r="F30" s="418"/>
      <c r="G30" s="418"/>
      <c r="H30" s="418"/>
      <c r="I30" s="418"/>
      <c r="J30" s="418"/>
      <c r="K30" s="418"/>
      <c r="L30" s="418"/>
      <c r="M30" s="418"/>
      <c r="N30" s="418"/>
      <c r="O30" s="418"/>
      <c r="P30" s="418"/>
      <c r="Q30" s="418"/>
    </row>
    <row r="31" spans="3:17" s="125" customFormat="1">
      <c r="C31" s="419" t="s">
        <v>666</v>
      </c>
      <c r="D31" s="721" t="s">
        <v>667</v>
      </c>
      <c r="E31" s="722" t="s">
        <v>778</v>
      </c>
      <c r="F31" s="500"/>
      <c r="G31" s="419" t="s">
        <v>666</v>
      </c>
      <c r="H31" s="721" t="s">
        <v>667</v>
      </c>
      <c r="I31" s="722" t="s">
        <v>778</v>
      </c>
      <c r="J31" s="501"/>
      <c r="K31" s="419" t="s">
        <v>666</v>
      </c>
      <c r="L31" s="420" t="s">
        <v>667</v>
      </c>
      <c r="M31" s="722" t="s">
        <v>778</v>
      </c>
      <c r="N31" s="501"/>
      <c r="O31" s="501"/>
      <c r="P31" s="501"/>
      <c r="Q31" s="501"/>
    </row>
    <row r="32" spans="3:17" s="125" customFormat="1">
      <c r="C32" s="502">
        <f ca="1">IF(ISNA(MATCH(Filtering_calcs!$C3,Filtering_calcs!D$3:D$11,0)),"",OFFSET(C$14,MATCH(Filtering_calcs!$C3,Filtering_calcs!D$3:D$11,0),0))</f>
        <v>40186</v>
      </c>
      <c r="D32" s="503" t="str">
        <f ca="1">IF(ISNA(MATCH(Filtering_calcs!$C3,Filtering_calcs!D$3:D$11,0)),"",OFFSET(D$14,MATCH(Filtering_calcs!$C3,Filtering_calcs!D$3:D$11,0),0))</f>
        <v>FED-17</v>
      </c>
      <c r="E32" s="504">
        <f ca="1">IF(ISNA(MATCH(Filtering_calcs!$C3,Filtering_calcs!D$3:D$11,0)),"",OFFSET(E$14,MATCH(Filtering_calcs!$C3,Filtering_calcs!D$3:D$11,0),0))</f>
        <v>69.58</v>
      </c>
      <c r="F32" s="505"/>
      <c r="G32" s="502">
        <f ca="1">IF(ISNA(MATCH(Filtering_calcs!$C3,Filtering_calcs!E$3:E$11,0)),"",OFFSET(G$14,MATCH(Filtering_calcs!$C3,Filtering_calcs!E$3:E$11,0),0))</f>
        <v>40148</v>
      </c>
      <c r="H32" s="503" t="str">
        <f ca="1">IF(ISNA(MATCH(Filtering_calcs!$C3,Filtering_calcs!E$3:E$11,0)),"",OFFSET(H$14,MATCH(Filtering_calcs!$C3,Filtering_calcs!E$3:E$11,0),0))</f>
        <v>EAD-53</v>
      </c>
      <c r="I32" s="504">
        <f ca="1">IF(ISNA(MATCH(Filtering_calcs!$C3,Filtering_calcs!E$3:E$11,0)),"",OFFSET(I$14,MATCH(Filtering_calcs!$C3,Filtering_calcs!E$3:E$11,0),0))</f>
        <v>68.98</v>
      </c>
      <c r="K32" s="502">
        <f ca="1">IF(ISNA(MATCH(Filtering_calcs!$C3,Filtering_calcs!F$3:F$11,0)),"",OFFSET(K$14,MATCH(Filtering_calcs!$C3,Filtering_calcs!F$3:F$11,0),0))</f>
        <v>40232</v>
      </c>
      <c r="L32" s="503" t="str">
        <f ca="1">IF(ISNA(MATCH(Filtering_calcs!$C3,Filtering_calcs!F$3:F$11,0)),"",OFFSET(L$14,MATCH(Filtering_calcs!$C3,Filtering_calcs!F$3:F$11,0),0))</f>
        <v>FFB-37</v>
      </c>
      <c r="M32" s="504">
        <f ca="1">IF(ISNA(MATCH(Filtering_calcs!$C3,Filtering_calcs!F$3:F$11,0)),"",OFFSET(M$14,MATCH(Filtering_calcs!$C3,Filtering_calcs!F$3:F$11,0),0))</f>
        <v>77.52</v>
      </c>
      <c r="N32" s="505"/>
      <c r="O32" s="505"/>
      <c r="P32" s="505"/>
      <c r="Q32" s="505"/>
    </row>
    <row r="33" spans="3:17" s="125" customFormat="1">
      <c r="C33" s="502">
        <f ca="1">IF(ISNA(MATCH(Filtering_calcs!$C4,Filtering_calcs!D$3:D$11,0)),"",OFFSET(C$14,MATCH(Filtering_calcs!$C4,Filtering_calcs!D$3:D$11,0),0))</f>
        <v>40192</v>
      </c>
      <c r="D33" s="503" t="str">
        <f ca="1">IF(ISNA(MATCH(Filtering_calcs!$C4,Filtering_calcs!D$3:D$11,0)),"",OFFSET(D$14,MATCH(Filtering_calcs!$C4,Filtering_calcs!D$3:D$11,0),0))</f>
        <v>EID-69</v>
      </c>
      <c r="E33" s="504">
        <f ca="1">IF(ISNA(MATCH(Filtering_calcs!$C4,Filtering_calcs!D$3:D$11,0)),"",OFFSET(E$14,MATCH(Filtering_calcs!$C4,Filtering_calcs!D$3:D$11,0),0))</f>
        <v>79.88</v>
      </c>
      <c r="F33" s="505"/>
      <c r="G33" s="502">
        <f ca="1">IF(ISNA(MATCH(Filtering_calcs!$C4,Filtering_calcs!E$3:E$11,0)),"",OFFSET(G$14,MATCH(Filtering_calcs!$C4,Filtering_calcs!E$3:E$11,0),0))</f>
        <v>40233</v>
      </c>
      <c r="H33" s="503" t="str">
        <f ca="1">IF(ISNA(MATCH(Filtering_calcs!$C4,Filtering_calcs!E$3:E$11,0)),"",OFFSET(H$14,MATCH(Filtering_calcs!$C4,Filtering_calcs!E$3:E$11,0),0))</f>
        <v>ICC-26</v>
      </c>
      <c r="I33" s="504">
        <f ca="1">IF(ISNA(MATCH(Filtering_calcs!$C4,Filtering_calcs!E$3:E$11,0)),"",OFFSET(I$14,MATCH(Filtering_calcs!$C4,Filtering_calcs!E$3:E$11,0),0))</f>
        <v>64.739999999999995</v>
      </c>
      <c r="K33" s="502">
        <f ca="1">IF(ISNA(MATCH(Filtering_calcs!$C4,Filtering_calcs!F$3:F$11,0)),"",OFFSET(K$14,MATCH(Filtering_calcs!$C4,Filtering_calcs!F$3:F$11,0),0))</f>
        <v>40171</v>
      </c>
      <c r="L33" s="503" t="str">
        <f ca="1">IF(ISNA(MATCH(Filtering_calcs!$C4,Filtering_calcs!F$3:F$11,0)),"",OFFSET(L$14,MATCH(Filtering_calcs!$C4,Filtering_calcs!F$3:F$11,0),0))</f>
        <v>FCI-84</v>
      </c>
      <c r="M33" s="504">
        <f ca="1">IF(ISNA(MATCH(Filtering_calcs!$C4,Filtering_calcs!F$3:F$11,0)),"",OFFSET(M$14,MATCH(Filtering_calcs!$C4,Filtering_calcs!F$3:F$11,0),0))</f>
        <v>65.099999999999994</v>
      </c>
      <c r="N33" s="505"/>
      <c r="O33" s="505"/>
      <c r="P33" s="505"/>
      <c r="Q33" s="505"/>
    </row>
    <row r="34" spans="3:17" s="125" customFormat="1">
      <c r="C34" s="502" t="str">
        <f ca="1">IF(ISNA(MATCH(Filtering_calcs!$C5,Filtering_calcs!D$3:D$11,0)),"",OFFSET(C$14,MATCH(Filtering_calcs!$C5,Filtering_calcs!D$3:D$11,0),0))</f>
        <v/>
      </c>
      <c r="D34" s="503" t="str">
        <f ca="1">IF(ISNA(MATCH(Filtering_calcs!$C5,Filtering_calcs!D$3:D$11,0)),"",OFFSET(D$14,MATCH(Filtering_calcs!$C5,Filtering_calcs!D$3:D$11,0),0))</f>
        <v/>
      </c>
      <c r="E34" s="504" t="str">
        <f ca="1">IF(ISNA(MATCH(Filtering_calcs!$C5,Filtering_calcs!D$3:D$11,0)),"",OFFSET(E$14,MATCH(Filtering_calcs!$C5,Filtering_calcs!D$3:D$11,0),0))</f>
        <v/>
      </c>
      <c r="F34" s="505"/>
      <c r="G34" s="502">
        <f ca="1">IF(ISNA(MATCH(Filtering_calcs!$C5,Filtering_calcs!E$3:E$11,0)),"",OFFSET(G$14,MATCH(Filtering_calcs!$C5,Filtering_calcs!E$3:E$11,0),0))</f>
        <v>40160</v>
      </c>
      <c r="H34" s="503" t="str">
        <f ca="1">IF(ISNA(MATCH(Filtering_calcs!$C5,Filtering_calcs!E$3:E$11,0)),"",OFFSET(H$14,MATCH(Filtering_calcs!$C5,Filtering_calcs!E$3:E$11,0),0))</f>
        <v>IHE-25</v>
      </c>
      <c r="I34" s="504">
        <f ca="1">IF(ISNA(MATCH(Filtering_calcs!$C5,Filtering_calcs!E$3:E$11,0)),"",OFFSET(I$14,MATCH(Filtering_calcs!$C5,Filtering_calcs!E$3:E$11,0),0))</f>
        <v>52.75</v>
      </c>
      <c r="K34" s="502">
        <f ca="1">IF(ISNA(MATCH(Filtering_calcs!$C5,Filtering_calcs!F$3:F$11,0)),"",OFFSET(K$14,MATCH(Filtering_calcs!$C5,Filtering_calcs!F$3:F$11,0),0))</f>
        <v>40222</v>
      </c>
      <c r="L34" s="503" t="str">
        <f ca="1">IF(ISNA(MATCH(Filtering_calcs!$C5,Filtering_calcs!F$3:F$11,0)),"",OFFSET(L$14,MATCH(Filtering_calcs!$C5,Filtering_calcs!F$3:F$11,0),0))</f>
        <v>HHE-97</v>
      </c>
      <c r="M34" s="504">
        <f ca="1">IF(ISNA(MATCH(Filtering_calcs!$C5,Filtering_calcs!F$3:F$11,0)),"",OFFSET(M$14,MATCH(Filtering_calcs!$C5,Filtering_calcs!F$3:F$11,0),0))</f>
        <v>58.66</v>
      </c>
      <c r="N34" s="505"/>
      <c r="O34" s="505"/>
      <c r="P34" s="505"/>
      <c r="Q34" s="505"/>
    </row>
    <row r="35" spans="3:17" s="125" customFormat="1">
      <c r="C35" s="502" t="str">
        <f ca="1">IF(ISNA(MATCH(Filtering_calcs!$C6,Filtering_calcs!D$3:D$11,0)),"",OFFSET(C$14,MATCH(Filtering_calcs!$C6,Filtering_calcs!D$3:D$11,0),0))</f>
        <v/>
      </c>
      <c r="D35" s="503" t="str">
        <f ca="1">IF(ISNA(MATCH(Filtering_calcs!$C6,Filtering_calcs!D$3:D$11,0)),"",OFFSET(D$14,MATCH(Filtering_calcs!$C6,Filtering_calcs!D$3:D$11,0),0))</f>
        <v/>
      </c>
      <c r="E35" s="504" t="str">
        <f ca="1">IF(ISNA(MATCH(Filtering_calcs!$C6,Filtering_calcs!D$3:D$11,0)),"",OFFSET(E$14,MATCH(Filtering_calcs!$C6,Filtering_calcs!D$3:D$11,0),0))</f>
        <v/>
      </c>
      <c r="F35" s="505"/>
      <c r="G35" s="502" t="str">
        <f ca="1">IF(ISNA(MATCH(Filtering_calcs!$C6,Filtering_calcs!E$3:E$11,0)),"",OFFSET(G$14,MATCH(Filtering_calcs!$C6,Filtering_calcs!E$3:E$11,0),0))</f>
        <v/>
      </c>
      <c r="H35" s="503" t="str">
        <f ca="1">IF(ISNA(MATCH(Filtering_calcs!$C6,Filtering_calcs!E$3:E$11,0)),"",OFFSET(H$14,MATCH(Filtering_calcs!$C6,Filtering_calcs!E$3:E$11,0),0))</f>
        <v/>
      </c>
      <c r="I35" s="504" t="str">
        <f ca="1">IF(ISNA(MATCH(Filtering_calcs!$C6,Filtering_calcs!E$3:E$11,0)),"",OFFSET(I$14,MATCH(Filtering_calcs!$C6,Filtering_calcs!E$3:E$11,0),0))</f>
        <v/>
      </c>
      <c r="K35" s="502" t="str">
        <f ca="1">IF(ISNA(MATCH(Filtering_calcs!$C6,Filtering_calcs!F$3:F$11,0)),"",OFFSET(K$14,MATCH(Filtering_calcs!$C6,Filtering_calcs!F$3:F$11,0),0))</f>
        <v/>
      </c>
      <c r="L35" s="503" t="str">
        <f ca="1">IF(ISNA(MATCH(Filtering_calcs!$C6,Filtering_calcs!F$3:F$11,0)),"",OFFSET(L$14,MATCH(Filtering_calcs!$C6,Filtering_calcs!F$3:F$11,0),0))</f>
        <v/>
      </c>
      <c r="M35" s="504" t="str">
        <f ca="1">IF(ISNA(MATCH(Filtering_calcs!$C6,Filtering_calcs!F$3:F$11,0)),"",OFFSET(M$14,MATCH(Filtering_calcs!$C6,Filtering_calcs!F$3:F$11,0),0))</f>
        <v/>
      </c>
      <c r="N35" s="505"/>
      <c r="O35" s="505"/>
      <c r="P35" s="505"/>
      <c r="Q35" s="505"/>
    </row>
    <row r="36" spans="3:17" s="125" customFormat="1">
      <c r="C36" s="502" t="str">
        <f ca="1">IF(ISNA(MATCH(Filtering_calcs!$C7,Filtering_calcs!D$3:D$11,0)),"",OFFSET(C$14,MATCH(Filtering_calcs!$C7,Filtering_calcs!D$3:D$11,0),0))</f>
        <v/>
      </c>
      <c r="D36" s="503" t="str">
        <f ca="1">IF(ISNA(MATCH(Filtering_calcs!$C7,Filtering_calcs!D$3:D$11,0)),"",OFFSET(D$14,MATCH(Filtering_calcs!$C7,Filtering_calcs!D$3:D$11,0),0))</f>
        <v/>
      </c>
      <c r="E36" s="504" t="str">
        <f ca="1">IF(ISNA(MATCH(Filtering_calcs!$C7,Filtering_calcs!D$3:D$11,0)),"",OFFSET(E$14,MATCH(Filtering_calcs!$C7,Filtering_calcs!D$3:D$11,0),0))</f>
        <v/>
      </c>
      <c r="F36" s="505"/>
      <c r="G36" s="502" t="str">
        <f ca="1">IF(ISNA(MATCH(Filtering_calcs!$C7,Filtering_calcs!E$3:E$11,0)),"",OFFSET(G$14,MATCH(Filtering_calcs!$C7,Filtering_calcs!E$3:E$11,0),0))</f>
        <v/>
      </c>
      <c r="H36" s="503" t="str">
        <f ca="1">IF(ISNA(MATCH(Filtering_calcs!$C7,Filtering_calcs!E$3:E$11,0)),"",OFFSET(H$14,MATCH(Filtering_calcs!$C7,Filtering_calcs!E$3:E$11,0),0))</f>
        <v/>
      </c>
      <c r="I36" s="504" t="str">
        <f ca="1">IF(ISNA(MATCH(Filtering_calcs!$C7,Filtering_calcs!E$3:E$11,0)),"",OFFSET(I$14,MATCH(Filtering_calcs!$C7,Filtering_calcs!E$3:E$11,0),0))</f>
        <v/>
      </c>
      <c r="K36" s="502" t="str">
        <f ca="1">IF(ISNA(MATCH(Filtering_calcs!$C7,Filtering_calcs!F$3:F$11,0)),"",OFFSET(K$14,MATCH(Filtering_calcs!$C7,Filtering_calcs!F$3:F$11,0),0))</f>
        <v/>
      </c>
      <c r="L36" s="503" t="str">
        <f ca="1">IF(ISNA(MATCH(Filtering_calcs!$C7,Filtering_calcs!F$3:F$11,0)),"",OFFSET(L$14,MATCH(Filtering_calcs!$C7,Filtering_calcs!F$3:F$11,0),0))</f>
        <v/>
      </c>
      <c r="M36" s="504" t="str">
        <f ca="1">IF(ISNA(MATCH(Filtering_calcs!$C7,Filtering_calcs!F$3:F$11,0)),"",OFFSET(M$14,MATCH(Filtering_calcs!$C7,Filtering_calcs!F$3:F$11,0),0))</f>
        <v/>
      </c>
      <c r="N36" s="505"/>
      <c r="O36" s="505"/>
      <c r="P36" s="505"/>
      <c r="Q36" s="505"/>
    </row>
    <row r="37" spans="3:17" s="125" customFormat="1">
      <c r="C37" s="502" t="str">
        <f ca="1">IF(ISNA(MATCH(Filtering_calcs!$C8,Filtering_calcs!D$3:D$11,0)),"",OFFSET(C$14,MATCH(Filtering_calcs!$C8,Filtering_calcs!D$3:D$11,0),0))</f>
        <v/>
      </c>
      <c r="D37" s="503" t="str">
        <f ca="1">IF(ISNA(MATCH(Filtering_calcs!$C8,Filtering_calcs!D$3:D$11,0)),"",OFFSET(D$14,MATCH(Filtering_calcs!$C8,Filtering_calcs!D$3:D$11,0),0))</f>
        <v/>
      </c>
      <c r="E37" s="504" t="str">
        <f ca="1">IF(ISNA(MATCH(Filtering_calcs!$C8,Filtering_calcs!D$3:D$11,0)),"",OFFSET(E$14,MATCH(Filtering_calcs!$C8,Filtering_calcs!D$3:D$11,0),0))</f>
        <v/>
      </c>
      <c r="F37" s="505"/>
      <c r="G37" s="502" t="str">
        <f ca="1">IF(ISNA(MATCH(Filtering_calcs!$C8,Filtering_calcs!E$3:E$11,0)),"",OFFSET(G$14,MATCH(Filtering_calcs!$C8,Filtering_calcs!E$3:E$11,0),0))</f>
        <v/>
      </c>
      <c r="H37" s="503" t="str">
        <f ca="1">IF(ISNA(MATCH(Filtering_calcs!$C8,Filtering_calcs!E$3:E$11,0)),"",OFFSET(H$14,MATCH(Filtering_calcs!$C8,Filtering_calcs!E$3:E$11,0),0))</f>
        <v/>
      </c>
      <c r="I37" s="504" t="str">
        <f ca="1">IF(ISNA(MATCH(Filtering_calcs!$C8,Filtering_calcs!E$3:E$11,0)),"",OFFSET(I$14,MATCH(Filtering_calcs!$C8,Filtering_calcs!E$3:E$11,0),0))</f>
        <v/>
      </c>
      <c r="K37" s="502" t="str">
        <f ca="1">IF(ISNA(MATCH(Filtering_calcs!$C8,Filtering_calcs!F$3:F$11,0)),"",OFFSET(K$14,MATCH(Filtering_calcs!$C8,Filtering_calcs!F$3:F$11,0),0))</f>
        <v/>
      </c>
      <c r="L37" s="503" t="str">
        <f ca="1">IF(ISNA(MATCH(Filtering_calcs!$C8,Filtering_calcs!F$3:F$11,0)),"",OFFSET(L$14,MATCH(Filtering_calcs!$C8,Filtering_calcs!F$3:F$11,0),0))</f>
        <v/>
      </c>
      <c r="M37" s="504" t="str">
        <f ca="1">IF(ISNA(MATCH(Filtering_calcs!$C8,Filtering_calcs!F$3:F$11,0)),"",OFFSET(M$14,MATCH(Filtering_calcs!$C8,Filtering_calcs!F$3:F$11,0),0))</f>
        <v/>
      </c>
      <c r="N37" s="505"/>
      <c r="O37" s="505"/>
      <c r="P37" s="505"/>
      <c r="Q37" s="505"/>
    </row>
    <row r="38" spans="3:17" s="125" customFormat="1">
      <c r="C38" s="502" t="str">
        <f ca="1">IF(ISNA(MATCH(Filtering_calcs!$C9,Filtering_calcs!D$3:D$11,0)),"",OFFSET(C$14,MATCH(Filtering_calcs!$C9,Filtering_calcs!D$3:D$11,0),0))</f>
        <v/>
      </c>
      <c r="D38" s="503" t="str">
        <f ca="1">IF(ISNA(MATCH(Filtering_calcs!$C9,Filtering_calcs!D$3:D$11,0)),"",OFFSET(D$14,MATCH(Filtering_calcs!$C9,Filtering_calcs!D$3:D$11,0),0))</f>
        <v/>
      </c>
      <c r="E38" s="504" t="str">
        <f ca="1">IF(ISNA(MATCH(Filtering_calcs!$C9,Filtering_calcs!D$3:D$11,0)),"",OFFSET(E$14,MATCH(Filtering_calcs!$C9,Filtering_calcs!D$3:D$11,0),0))</f>
        <v/>
      </c>
      <c r="F38" s="505"/>
      <c r="G38" s="502" t="str">
        <f ca="1">IF(ISNA(MATCH(Filtering_calcs!$C9,Filtering_calcs!E$3:E$11,0)),"",OFFSET(G$14,MATCH(Filtering_calcs!$C9,Filtering_calcs!E$3:E$11,0),0))</f>
        <v/>
      </c>
      <c r="H38" s="503" t="str">
        <f ca="1">IF(ISNA(MATCH(Filtering_calcs!$C9,Filtering_calcs!E$3:E$11,0)),"",OFFSET(H$14,MATCH(Filtering_calcs!$C9,Filtering_calcs!E$3:E$11,0),0))</f>
        <v/>
      </c>
      <c r="I38" s="504" t="str">
        <f ca="1">IF(ISNA(MATCH(Filtering_calcs!$C9,Filtering_calcs!E$3:E$11,0)),"",OFFSET(I$14,MATCH(Filtering_calcs!$C9,Filtering_calcs!E$3:E$11,0),0))</f>
        <v/>
      </c>
      <c r="K38" s="502" t="str">
        <f ca="1">IF(ISNA(MATCH(Filtering_calcs!$C9,Filtering_calcs!F$3:F$11,0)),"",OFFSET(K$14,MATCH(Filtering_calcs!$C9,Filtering_calcs!F$3:F$11,0),0))</f>
        <v/>
      </c>
      <c r="L38" s="503" t="str">
        <f ca="1">IF(ISNA(MATCH(Filtering_calcs!$C9,Filtering_calcs!F$3:F$11,0)),"",OFFSET(L$14,MATCH(Filtering_calcs!$C9,Filtering_calcs!F$3:F$11,0),0))</f>
        <v/>
      </c>
      <c r="M38" s="504" t="str">
        <f ca="1">IF(ISNA(MATCH(Filtering_calcs!$C9,Filtering_calcs!F$3:F$11,0)),"",OFFSET(M$14,MATCH(Filtering_calcs!$C9,Filtering_calcs!F$3:F$11,0),0))</f>
        <v/>
      </c>
      <c r="N38" s="505"/>
      <c r="O38" s="505"/>
      <c r="P38" s="505"/>
      <c r="Q38" s="505"/>
    </row>
    <row r="39" spans="3:17" s="125" customFormat="1">
      <c r="C39" s="502" t="str">
        <f ca="1">IF(ISNA(MATCH(Filtering_calcs!$C10,Filtering_calcs!D$3:D$11,0)),"",OFFSET(C$14,MATCH(Filtering_calcs!$C10,Filtering_calcs!D$3:D$11,0),0))</f>
        <v/>
      </c>
      <c r="D39" s="503" t="str">
        <f ca="1">IF(ISNA(MATCH(Filtering_calcs!$C10,Filtering_calcs!D$3:D$11,0)),"",OFFSET(D$14,MATCH(Filtering_calcs!$C10,Filtering_calcs!D$3:D$11,0),0))</f>
        <v/>
      </c>
      <c r="E39" s="504" t="str">
        <f ca="1">IF(ISNA(MATCH(Filtering_calcs!$C10,Filtering_calcs!D$3:D$11,0)),"",OFFSET(E$14,MATCH(Filtering_calcs!$C10,Filtering_calcs!D$3:D$11,0),0))</f>
        <v/>
      </c>
      <c r="F39" s="505"/>
      <c r="G39" s="502" t="str">
        <f ca="1">IF(ISNA(MATCH(Filtering_calcs!$C10,Filtering_calcs!E$3:E$11,0)),"",OFFSET(G$14,MATCH(Filtering_calcs!$C10,Filtering_calcs!E$3:E$11,0),0))</f>
        <v/>
      </c>
      <c r="H39" s="503" t="str">
        <f ca="1">IF(ISNA(MATCH(Filtering_calcs!$C10,Filtering_calcs!E$3:E$11,0)),"",OFFSET(H$14,MATCH(Filtering_calcs!$C10,Filtering_calcs!E$3:E$11,0),0))</f>
        <v/>
      </c>
      <c r="I39" s="504" t="str">
        <f ca="1">IF(ISNA(MATCH(Filtering_calcs!$C10,Filtering_calcs!E$3:E$11,0)),"",OFFSET(I$14,MATCH(Filtering_calcs!$C10,Filtering_calcs!E$3:E$11,0),0))</f>
        <v/>
      </c>
      <c r="K39" s="502" t="str">
        <f ca="1">IF(ISNA(MATCH(Filtering_calcs!$C10,Filtering_calcs!F$3:F$11,0)),"",OFFSET(K$14,MATCH(Filtering_calcs!$C10,Filtering_calcs!F$3:F$11,0),0))</f>
        <v/>
      </c>
      <c r="L39" s="503" t="str">
        <f ca="1">IF(ISNA(MATCH(Filtering_calcs!$C10,Filtering_calcs!F$3:F$11,0)),"",OFFSET(L$14,MATCH(Filtering_calcs!$C10,Filtering_calcs!F$3:F$11,0),0))</f>
        <v/>
      </c>
      <c r="M39" s="504" t="str">
        <f ca="1">IF(ISNA(MATCH(Filtering_calcs!$C10,Filtering_calcs!F$3:F$11,0)),"",OFFSET(M$14,MATCH(Filtering_calcs!$C10,Filtering_calcs!F$3:F$11,0),0))</f>
        <v/>
      </c>
      <c r="N39" s="505"/>
      <c r="O39" s="505"/>
      <c r="P39" s="505"/>
      <c r="Q39" s="505"/>
    </row>
    <row r="40" spans="3:17" s="125" customFormat="1">
      <c r="C40" s="506" t="str">
        <f ca="1">IF(ISNA(MATCH(Filtering_calcs!$C11,Filtering_calcs!D$3:D$11,0)),"",OFFSET(C$14,MATCH(Filtering_calcs!$C11,Filtering_calcs!D$3:D$11,0),0))</f>
        <v/>
      </c>
      <c r="D40" s="507" t="str">
        <f ca="1">IF(ISNA(MATCH(Filtering_calcs!$C11,Filtering_calcs!D$3:D$11,0)),"",OFFSET(D$14,MATCH(Filtering_calcs!$C11,Filtering_calcs!D$3:D$11,0),0))</f>
        <v/>
      </c>
      <c r="E40" s="508" t="str">
        <f ca="1">IF(ISNA(MATCH(Filtering_calcs!$C11,Filtering_calcs!D$3:D$11,0)),"",OFFSET(E$14,MATCH(Filtering_calcs!$C11,Filtering_calcs!D$3:D$11,0),0))</f>
        <v/>
      </c>
      <c r="F40" s="505"/>
      <c r="G40" s="506" t="str">
        <f ca="1">IF(ISNA(MATCH(Filtering_calcs!$C11,Filtering_calcs!E$3:E$11,0)),"",OFFSET(G$14,MATCH(Filtering_calcs!$C11,Filtering_calcs!E$3:E$11,0),0))</f>
        <v/>
      </c>
      <c r="H40" s="507" t="str">
        <f ca="1">IF(ISNA(MATCH(Filtering_calcs!$C11,Filtering_calcs!E$3:E$11,0)),"",OFFSET(H$14,MATCH(Filtering_calcs!$C11,Filtering_calcs!E$3:E$11,0),0))</f>
        <v/>
      </c>
      <c r="I40" s="508" t="str">
        <f ca="1">IF(ISNA(MATCH(Filtering_calcs!$C11,Filtering_calcs!E$3:E$11,0)),"",OFFSET(I$14,MATCH(Filtering_calcs!$C11,Filtering_calcs!E$3:E$11,0),0))</f>
        <v/>
      </c>
      <c r="K40" s="506" t="str">
        <f ca="1">IF(ISNA(MATCH(Filtering_calcs!$C11,Filtering_calcs!F$3:F$11,0)),"",OFFSET(K$14,MATCH(Filtering_calcs!$C11,Filtering_calcs!F$3:F$11,0),0))</f>
        <v/>
      </c>
      <c r="L40" s="507" t="str">
        <f ca="1">IF(ISNA(MATCH(Filtering_calcs!$C11,Filtering_calcs!F$3:F$11,0)),"",OFFSET(L$14,MATCH(Filtering_calcs!$C11,Filtering_calcs!F$3:F$11,0),0))</f>
        <v/>
      </c>
      <c r="M40" s="508" t="str">
        <f ca="1">IF(ISNA(MATCH(Filtering_calcs!$C11,Filtering_calcs!F$3:F$11,0)),"",OFFSET(M$14,MATCH(Filtering_calcs!$C11,Filtering_calcs!F$3:F$11,0),0))</f>
        <v/>
      </c>
      <c r="N40" s="505"/>
      <c r="O40" s="505"/>
      <c r="P40" s="505"/>
      <c r="Q40" s="505"/>
    </row>
    <row r="41" spans="3:17" s="125" customFormat="1"/>
    <row r="42" spans="3:17">
      <c r="C42" s="1454" t="str">
        <f>back_to_index</f>
        <v>Back to contents</v>
      </c>
      <c r="D42" s="1454"/>
      <c r="F42" s="1530" t="str">
        <f>page_prefix &amp; page_Filtering &amp; page_suffix</f>
        <v>- Page 7 -</v>
      </c>
      <c r="G42" s="1530"/>
      <c r="H42" s="1530"/>
      <c r="I42" s="1530"/>
      <c r="L42" s="1485" t="str">
        <f>back_to_top</f>
        <v>Back to top</v>
      </c>
      <c r="M42" s="1485"/>
    </row>
    <row r="43" spans="3:17">
      <c r="F43" s="1530" t="str">
        <f>copyright</f>
        <v>Copyright (c) 2009 Tykoh Group Pty Limited</v>
      </c>
      <c r="G43" s="1530"/>
      <c r="H43" s="1530"/>
      <c r="I43" s="1530"/>
    </row>
    <row r="44" spans="3:17">
      <c r="F44" s="1452" t="str">
        <f>home_address</f>
        <v>www.tykoh.com</v>
      </c>
      <c r="G44" s="1452"/>
      <c r="H44" s="1452"/>
      <c r="I44" s="1452"/>
    </row>
    <row r="45" spans="3:17"/>
  </sheetData>
  <sheetProtection algorithmName="SHA-512" hashValue="746+o54ZNWNw/pYvfxUBpVhZL70cWxGHLcbE3ewSaLovJsA1UYRWb2vaOgpFbzPsmIkHFlR66kU4v2bMdxAefg==" saltValue="xoG8sbY5JVL5RDfxRQvFSA==" spinCount="100000" sheet="1" objects="1" scenarios="1"/>
  <mergeCells count="12">
    <mergeCell ref="F2:I2"/>
    <mergeCell ref="C29:M29"/>
    <mergeCell ref="C12:M12"/>
    <mergeCell ref="C25:M25"/>
    <mergeCell ref="C27:F27"/>
    <mergeCell ref="C5:J7"/>
    <mergeCell ref="K4:M8"/>
    <mergeCell ref="F43:I43"/>
    <mergeCell ref="F44:I44"/>
    <mergeCell ref="L42:M42"/>
    <mergeCell ref="F42:I42"/>
    <mergeCell ref="C42:D42"/>
  </mergeCells>
  <phoneticPr fontId="2" type="noConversion"/>
  <dataValidations count="1">
    <dataValidation type="list" allowBlank="1" showInputMessage="1" showErrorMessage="1" sqref="G27 I27" xr:uid="{00000000-0002-0000-0700-000000000000}">
      <formula1>"0,10,20,30,40,50,60,70,80,90,100"</formula1>
    </dataValidation>
  </dataValidations>
  <hyperlinks>
    <hyperlink ref="L42:M42" location="hh_filtering" display="hh_filtering" xr:uid="{00000000-0004-0000-0700-000000000000}"/>
    <hyperlink ref="C42:D42" location="hh_index" display="hh_index" xr:uid="{00000000-0004-0000-0700-000001000000}"/>
    <hyperlink ref="F44:I44" r:id="rId1" display="https://www.tykoh.com/" xr:uid="{00000000-0004-0000-0700-000002000000}"/>
  </hyperlinks>
  <pageMargins left="0.75" right="0.75" top="1" bottom="1" header="0.5" footer="0.5"/>
  <pageSetup scale="74"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2:F12"/>
  <sheetViews>
    <sheetView workbookViewId="0"/>
  </sheetViews>
  <sheetFormatPr defaultRowHeight="12.5"/>
  <cols>
    <col min="1" max="2" width="1" customWidth="1"/>
  </cols>
  <sheetData>
    <row r="2" spans="1:6">
      <c r="A2">
        <v>0</v>
      </c>
      <c r="B2">
        <v>1</v>
      </c>
      <c r="C2" t="s">
        <v>767</v>
      </c>
      <c r="D2" t="s">
        <v>766</v>
      </c>
      <c r="E2" t="s">
        <v>766</v>
      </c>
      <c r="F2" t="s">
        <v>766</v>
      </c>
    </row>
    <row r="3" spans="1:6">
      <c r="A3">
        <f t="shared" ref="A3:A12" si="0">A2+10</f>
        <v>10</v>
      </c>
      <c r="B3">
        <v>11</v>
      </c>
      <c r="C3">
        <v>1</v>
      </c>
      <c r="D3">
        <f>IF(AND(Filtering!E15&gt;=MIN(Filtering_calcs!$B$5,Filtering_calcs!$B$6),Filtering!E15&lt;=MAX(Filtering_calcs!$B$5,Filtering_calcs!$B$6)),SUM(D2,1),SUM(D2))</f>
        <v>0</v>
      </c>
      <c r="E3">
        <f>IF(AND(Filtering!I15&gt;=MIN(Filtering_calcs!$B$5,Filtering_calcs!$B$6),Filtering!I15&lt;=MAX(Filtering_calcs!$B$5,Filtering_calcs!$B$6)),SUM(E2,1),SUM(E2))</f>
        <v>1</v>
      </c>
      <c r="F3">
        <f>IF(AND(Filtering!M15&gt;=MIN(Filtering_calcs!$B$5,Filtering_calcs!$B$6),Filtering!M15&lt;=MAX(Filtering_calcs!$B$5,Filtering_calcs!$B$6)),SUM(F2,1),SUM(F2))</f>
        <v>0</v>
      </c>
    </row>
    <row r="4" spans="1:6">
      <c r="A4">
        <f t="shared" si="0"/>
        <v>20</v>
      </c>
      <c r="C4">
        <f t="shared" ref="C4:C11" si="1">C3+1</f>
        <v>2</v>
      </c>
      <c r="D4">
        <f>IF(AND(Filtering!E16&gt;=MIN(Filtering_calcs!$B$5,Filtering_calcs!$B$6),Filtering!E16&lt;=MAX(Filtering_calcs!$B$5,Filtering_calcs!$B$6)),SUM(D3,1),SUM(D3))</f>
        <v>0</v>
      </c>
      <c r="E4">
        <f>IF(AND(Filtering!I16&gt;=MIN(Filtering_calcs!$B$5,Filtering_calcs!$B$6),Filtering!I16&lt;=MAX(Filtering_calcs!$B$5,Filtering_calcs!$B$6)),SUM(E3,1),SUM(E3))</f>
        <v>1</v>
      </c>
      <c r="F4">
        <f>IF(AND(Filtering!M16&gt;=MIN(Filtering_calcs!$B$5,Filtering_calcs!$B$6),Filtering!M16&lt;=MAX(Filtering_calcs!$B$5,Filtering_calcs!$B$6)),SUM(F3,1),SUM(F3))</f>
        <v>0</v>
      </c>
    </row>
    <row r="5" spans="1:6">
      <c r="A5">
        <f t="shared" si="0"/>
        <v>30</v>
      </c>
      <c r="B5">
        <f>Filtering!G27</f>
        <v>80</v>
      </c>
      <c r="C5">
        <f t="shared" si="1"/>
        <v>3</v>
      </c>
      <c r="D5">
        <f>IF(AND(Filtering!E17&gt;=MIN(Filtering_calcs!$B$5,Filtering_calcs!$B$6),Filtering!E17&lt;=MAX(Filtering_calcs!$B$5,Filtering_calcs!$B$6)),SUM(D4,1),SUM(D4))</f>
        <v>0</v>
      </c>
      <c r="E5">
        <f>IF(AND(Filtering!I17&gt;=MIN(Filtering_calcs!$B$5,Filtering_calcs!$B$6),Filtering!I17&lt;=MAX(Filtering_calcs!$B$5,Filtering_calcs!$B$6)),SUM(E4,1),SUM(E4))</f>
        <v>2</v>
      </c>
      <c r="F5">
        <f>IF(AND(Filtering!M17&gt;=MIN(Filtering_calcs!$B$5,Filtering_calcs!$B$6),Filtering!M17&lt;=MAX(Filtering_calcs!$B$5,Filtering_calcs!$B$6)),SUM(F4,1),SUM(F4))</f>
        <v>0</v>
      </c>
    </row>
    <row r="6" spans="1:6">
      <c r="A6">
        <f t="shared" si="0"/>
        <v>40</v>
      </c>
      <c r="B6">
        <f>Filtering!$I$27</f>
        <v>50</v>
      </c>
      <c r="C6">
        <f t="shared" si="1"/>
        <v>4</v>
      </c>
      <c r="D6">
        <f>IF(AND(Filtering!E18&gt;=MIN(Filtering_calcs!$B$5,Filtering_calcs!$B$6),Filtering!E18&lt;=MAX(Filtering_calcs!$B$5,Filtering_calcs!$B$6)),SUM(D5,1),SUM(D5))</f>
        <v>0</v>
      </c>
      <c r="E6">
        <f>IF(AND(Filtering!I18&gt;=MIN(Filtering_calcs!$B$5,Filtering_calcs!$B$6),Filtering!I18&lt;=MAX(Filtering_calcs!$B$5,Filtering_calcs!$B$6)),SUM(E5,1),SUM(E5))</f>
        <v>3</v>
      </c>
      <c r="F6">
        <f>IF(AND(Filtering!M18&gt;=MIN(Filtering_calcs!$B$5,Filtering_calcs!$B$6),Filtering!M18&lt;=MAX(Filtering_calcs!$B$5,Filtering_calcs!$B$6)),SUM(F5,1),SUM(F5))</f>
        <v>1</v>
      </c>
    </row>
    <row r="7" spans="1:6">
      <c r="A7">
        <f t="shared" si="0"/>
        <v>50</v>
      </c>
      <c r="C7">
        <f t="shared" si="1"/>
        <v>5</v>
      </c>
      <c r="D7">
        <f>IF(AND(Filtering!E19&gt;=MIN(Filtering_calcs!$B$5,Filtering_calcs!$B$6),Filtering!E19&lt;=MAX(Filtering_calcs!$B$5,Filtering_calcs!$B$6)),SUM(D6,1),SUM(D6))</f>
        <v>0</v>
      </c>
      <c r="E7">
        <f>IF(AND(Filtering!I19&gt;=MIN(Filtering_calcs!$B$5,Filtering_calcs!$B$6),Filtering!I19&lt;=MAX(Filtering_calcs!$B$5,Filtering_calcs!$B$6)),SUM(E6,1),SUM(E6))</f>
        <v>3</v>
      </c>
      <c r="F7">
        <f>IF(AND(Filtering!M19&gt;=MIN(Filtering_calcs!$B$5,Filtering_calcs!$B$6),Filtering!M19&lt;=MAX(Filtering_calcs!$B$5,Filtering_calcs!$B$6)),SUM(F6,1),SUM(F6))</f>
        <v>1</v>
      </c>
    </row>
    <row r="8" spans="1:6">
      <c r="A8">
        <f t="shared" si="0"/>
        <v>60</v>
      </c>
      <c r="C8">
        <f t="shared" si="1"/>
        <v>6</v>
      </c>
      <c r="D8">
        <f>IF(AND(Filtering!E20&gt;=MIN(Filtering_calcs!$B$5,Filtering_calcs!$B$6),Filtering!E20&lt;=MAX(Filtering_calcs!$B$5,Filtering_calcs!$B$6)),SUM(D7,1),SUM(D7))</f>
        <v>0</v>
      </c>
      <c r="E8">
        <f>IF(AND(Filtering!I20&gt;=MIN(Filtering_calcs!$B$5,Filtering_calcs!$B$6),Filtering!I20&lt;=MAX(Filtering_calcs!$B$5,Filtering_calcs!$B$6)),SUM(E7,1),SUM(E7))</f>
        <v>3</v>
      </c>
      <c r="F8">
        <f>IF(AND(Filtering!M20&gt;=MIN(Filtering_calcs!$B$5,Filtering_calcs!$B$6),Filtering!M20&lt;=MAX(Filtering_calcs!$B$5,Filtering_calcs!$B$6)),SUM(F7,1),SUM(F7))</f>
        <v>2</v>
      </c>
    </row>
    <row r="9" spans="1:6">
      <c r="A9">
        <f t="shared" si="0"/>
        <v>70</v>
      </c>
      <c r="C9">
        <f t="shared" si="1"/>
        <v>7</v>
      </c>
      <c r="D9">
        <f>IF(AND(Filtering!E21&gt;=MIN(Filtering_calcs!$B$5,Filtering_calcs!$B$6),Filtering!E21&lt;=MAX(Filtering_calcs!$B$5,Filtering_calcs!$B$6)),SUM(D8,1),SUM(D8))</f>
        <v>1</v>
      </c>
      <c r="E9">
        <f>IF(AND(Filtering!I21&gt;=MIN(Filtering_calcs!$B$5,Filtering_calcs!$B$6),Filtering!I21&lt;=MAX(Filtering_calcs!$B$5,Filtering_calcs!$B$6)),SUM(E8,1),SUM(E8))</f>
        <v>3</v>
      </c>
      <c r="F9">
        <f>IF(AND(Filtering!M21&gt;=MIN(Filtering_calcs!$B$5,Filtering_calcs!$B$6),Filtering!M21&lt;=MAX(Filtering_calcs!$B$5,Filtering_calcs!$B$6)),SUM(F8,1),SUM(F8))</f>
        <v>3</v>
      </c>
    </row>
    <row r="10" spans="1:6">
      <c r="A10">
        <f t="shared" si="0"/>
        <v>80</v>
      </c>
      <c r="C10">
        <f t="shared" si="1"/>
        <v>8</v>
      </c>
      <c r="D10">
        <f>IF(AND(Filtering!E22&gt;=MIN(Filtering_calcs!$B$5,Filtering_calcs!$B$6),Filtering!E22&lt;=MAX(Filtering_calcs!$B$5,Filtering_calcs!$B$6)),SUM(D9,1),SUM(D9))</f>
        <v>1</v>
      </c>
      <c r="E10">
        <f>IF(AND(Filtering!I22&gt;=MIN(Filtering_calcs!$B$5,Filtering_calcs!$B$6),Filtering!I22&lt;=MAX(Filtering_calcs!$B$5,Filtering_calcs!$B$6)),SUM(E9,1),SUM(E9))</f>
        <v>3</v>
      </c>
      <c r="F10">
        <f>IF(AND(Filtering!M22&gt;=MIN(Filtering_calcs!$B$5,Filtering_calcs!$B$6),Filtering!M22&lt;=MAX(Filtering_calcs!$B$5,Filtering_calcs!$B$6)),SUM(F9,1),SUM(F9))</f>
        <v>3</v>
      </c>
    </row>
    <row r="11" spans="1:6">
      <c r="A11">
        <f t="shared" si="0"/>
        <v>90</v>
      </c>
      <c r="C11">
        <f t="shared" si="1"/>
        <v>9</v>
      </c>
      <c r="D11">
        <f>IF(AND(Filtering!E23&gt;=MIN(Filtering_calcs!$B$5,Filtering_calcs!$B$6),Filtering!E23&lt;=MAX(Filtering_calcs!$B$5,Filtering_calcs!$B$6)),SUM(D10,1),SUM(D10))</f>
        <v>2</v>
      </c>
      <c r="E11">
        <f>IF(AND(Filtering!I23&gt;=MIN(Filtering_calcs!$B$5,Filtering_calcs!$B$6),Filtering!I23&lt;=MAX(Filtering_calcs!$B$5,Filtering_calcs!$B$6)),SUM(E10,1),SUM(E10))</f>
        <v>3</v>
      </c>
      <c r="F11">
        <f>IF(AND(Filtering!M23&gt;=MIN(Filtering_calcs!$B$5,Filtering_calcs!$B$6),Filtering!M23&lt;=MAX(Filtering_calcs!$B$5,Filtering_calcs!$B$6)),SUM(F10,1),SUM(F10))</f>
        <v>3</v>
      </c>
    </row>
    <row r="12" spans="1:6">
      <c r="A12">
        <f t="shared" si="0"/>
        <v>100</v>
      </c>
    </row>
  </sheetData>
  <sheetProtection algorithmName="SHA-512" hashValue="HFEuZnpSQSfDfn+q2INtr8dJG1MCYq0ISBbVnHfwSv7/fqUR/gkoc0JgTCFwBZzvarg20OkHmGa5POhpWFrA/A==" saltValue="xBQBmjJJ1Ad4/9VkobjqZQ==" spinCount="100000" sheet="1" objects="1" scenarios="1"/>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67</vt:i4>
      </vt:variant>
      <vt:variant>
        <vt:lpstr>Named Ranges</vt:lpstr>
      </vt:variant>
      <vt:variant>
        <vt:i4>772</vt:i4>
      </vt:variant>
    </vt:vector>
  </HeadingPairs>
  <TitlesOfParts>
    <vt:vector size="839" baseType="lpstr">
      <vt:lpstr>About</vt:lpstr>
      <vt:lpstr>Index</vt:lpstr>
      <vt:lpstr>Aggregating</vt:lpstr>
      <vt:lpstr>Averaging</vt:lpstr>
      <vt:lpstr>Charting</vt:lpstr>
      <vt:lpstr>Charting_calcs</vt:lpstr>
      <vt:lpstr>Highlighting</vt:lpstr>
      <vt:lpstr>Filtering</vt:lpstr>
      <vt:lpstr>Filtering_calcs</vt:lpstr>
      <vt:lpstr>RateSensitising</vt:lpstr>
      <vt:lpstr>Interpolating</vt:lpstr>
      <vt:lpstr>Interpolating_calcs</vt:lpstr>
      <vt:lpstr>Interpolating_calcs_2</vt:lpstr>
      <vt:lpstr>Looking_Up</vt:lpstr>
      <vt:lpstr>Prioritising</vt:lpstr>
      <vt:lpstr>Prioritising_calcs</vt:lpstr>
      <vt:lpstr>Ranking</vt:lpstr>
      <vt:lpstr>Ranking_calcs</vt:lpstr>
      <vt:lpstr>Rounding</vt:lpstr>
      <vt:lpstr>Scenario_Analysing</vt:lpstr>
      <vt:lpstr>Scenario_Analysing_calcs</vt:lpstr>
      <vt:lpstr>Scenario_Analysing_calcs2</vt:lpstr>
      <vt:lpstr>Scheduling</vt:lpstr>
      <vt:lpstr>Seasonalising</vt:lpstr>
      <vt:lpstr>seasonalising_calcs</vt:lpstr>
      <vt:lpstr>Sensitising_Value</vt:lpstr>
      <vt:lpstr>Sensitising_Value_calcs</vt:lpstr>
      <vt:lpstr>RateSensitising_calcs</vt:lpstr>
      <vt:lpstr>Valuing_Option</vt:lpstr>
      <vt:lpstr>Valuing_Option_calcs</vt:lpstr>
      <vt:lpstr>Scheduling_calcs</vt:lpstr>
      <vt:lpstr>VB</vt:lpstr>
      <vt:lpstr>xref</vt:lpstr>
      <vt:lpstr>fn_ABS</vt:lpstr>
      <vt:lpstr>fn_AND</vt:lpstr>
      <vt:lpstr>fn_AVERAGE</vt:lpstr>
      <vt:lpstr>fn_CHOOSE</vt:lpstr>
      <vt:lpstr>fn_COUNT</vt:lpstr>
      <vt:lpstr>fn_COUNTIF</vt:lpstr>
      <vt:lpstr>fn_IF</vt:lpstr>
      <vt:lpstr>fn_ISNA</vt:lpstr>
      <vt:lpstr>fn_LARGE</vt:lpstr>
      <vt:lpstr>fn_LEFT</vt:lpstr>
      <vt:lpstr>fn_LOOKUP</vt:lpstr>
      <vt:lpstr>fn_MATCH</vt:lpstr>
      <vt:lpstr>fn_MAX</vt:lpstr>
      <vt:lpstr>fn_OFFSET</vt:lpstr>
      <vt:lpstr>fn_SUM</vt:lpstr>
      <vt:lpstr>fn_SUMPRODUCT</vt:lpstr>
      <vt:lpstr>fn_VLOOKUP</vt:lpstr>
      <vt:lpstr>Combine_1</vt:lpstr>
      <vt:lpstr>Combine_2</vt:lpstr>
      <vt:lpstr>Combine_3</vt:lpstr>
      <vt:lpstr>Combine_4</vt:lpstr>
      <vt:lpstr>Ex_1</vt:lpstr>
      <vt:lpstr>Ex_3</vt:lpstr>
      <vt:lpstr>Ex_Acc_Bal</vt:lpstr>
      <vt:lpstr>Ex_2</vt:lpstr>
      <vt:lpstr>Ex_4</vt:lpstr>
      <vt:lpstr>Ex_Status</vt:lpstr>
      <vt:lpstr>Ex_2_calcs</vt:lpstr>
      <vt:lpstr>Next</vt:lpstr>
      <vt:lpstr>Indexx</vt:lpstr>
      <vt:lpstr>sort</vt:lpstr>
      <vt:lpstr>graphics_calcs</vt:lpstr>
      <vt:lpstr>ads</vt:lpstr>
      <vt:lpstr>constants_calcs</vt:lpstr>
      <vt:lpstr>ad_first</vt:lpstr>
      <vt:lpstr>ads_aggregating</vt:lpstr>
      <vt:lpstr>ads_averaging</vt:lpstr>
      <vt:lpstr>ads_charting</vt:lpstr>
      <vt:lpstr>ads_Combine_1</vt:lpstr>
      <vt:lpstr>ads_Combine_2</vt:lpstr>
      <vt:lpstr>ads_Combine_3</vt:lpstr>
      <vt:lpstr>ads_Combine_4</vt:lpstr>
      <vt:lpstr>ads_Ex_1</vt:lpstr>
      <vt:lpstr>ads_Ex_2</vt:lpstr>
      <vt:lpstr>ads_Ex_3</vt:lpstr>
      <vt:lpstr>ads_Ex_4</vt:lpstr>
      <vt:lpstr>ads_Ex_Acc_Bal</vt:lpstr>
      <vt:lpstr>ads_Ex_Status</vt:lpstr>
      <vt:lpstr>ads_filtering</vt:lpstr>
      <vt:lpstr>ads_fn_ABS</vt:lpstr>
      <vt:lpstr>ads_fn_AND</vt:lpstr>
      <vt:lpstr>ads_fn_AVERAGE</vt:lpstr>
      <vt:lpstr>ads_fn_CHOOSE</vt:lpstr>
      <vt:lpstr>ads_fn_COUNT</vt:lpstr>
      <vt:lpstr>ads_fn_COUNTIF</vt:lpstr>
      <vt:lpstr>ads_fn_IF</vt:lpstr>
      <vt:lpstr>ads_fn_ISNA</vt:lpstr>
      <vt:lpstr>ads_fn_LARGE</vt:lpstr>
      <vt:lpstr>ads_fn_LEFT</vt:lpstr>
      <vt:lpstr>ads_fn_LOOKUP</vt:lpstr>
      <vt:lpstr>ads_fn_MATCH</vt:lpstr>
      <vt:lpstr>ads_fn_MAX</vt:lpstr>
      <vt:lpstr>ads_fn_OFFSET</vt:lpstr>
      <vt:lpstr>ads_fn_OR</vt:lpstr>
      <vt:lpstr>ads_fn_SUM</vt:lpstr>
      <vt:lpstr>ads_fn_SUMPRODUCT</vt:lpstr>
      <vt:lpstr>ads_fn_VLOOKUP</vt:lpstr>
      <vt:lpstr>ads_highlighting</vt:lpstr>
      <vt:lpstr>ads_interpolating</vt:lpstr>
      <vt:lpstr>ads_looking_up</vt:lpstr>
      <vt:lpstr>ads_Next</vt:lpstr>
      <vt:lpstr>ads_prioritising</vt:lpstr>
      <vt:lpstr>ads_ranking</vt:lpstr>
      <vt:lpstr>ads_ratesensitising</vt:lpstr>
      <vt:lpstr>ads_rounding</vt:lpstr>
      <vt:lpstr>ads_scenario_analysing</vt:lpstr>
      <vt:lpstr>ads_scheduling</vt:lpstr>
      <vt:lpstr>ads_seasonalising</vt:lpstr>
      <vt:lpstr>ads_sensitising_value</vt:lpstr>
      <vt:lpstr>ads_top</vt:lpstr>
      <vt:lpstr>ads_valuing_option</vt:lpstr>
      <vt:lpstr>ads_VB</vt:lpstr>
      <vt:lpstr>ads_xref</vt:lpstr>
      <vt:lpstr>ads_Your_own</vt:lpstr>
      <vt:lpstr>amounts</vt:lpstr>
      <vt:lpstr>ann_sales_growth</vt:lpstr>
      <vt:lpstr>ans_COUNT_1</vt:lpstr>
      <vt:lpstr>ans_count_2</vt:lpstr>
      <vt:lpstr>answer_complete</vt:lpstr>
      <vt:lpstr>answer_correct</vt:lpstr>
      <vt:lpstr>asset_price_array</vt:lpstr>
      <vt:lpstr>back_to_index</vt:lpstr>
      <vt:lpstr>back_to_top</vt:lpstr>
      <vt:lpstr>bridge_mode_on</vt:lpstr>
      <vt:lpstr>cogs_per_sales</vt:lpstr>
      <vt:lpstr>copyright</vt:lpstr>
      <vt:lpstr>curr_assets_per_sales</vt:lpstr>
      <vt:lpstr>curr_liabilities_per_sales</vt:lpstr>
      <vt:lpstr>cv_sens_factor</vt:lpstr>
      <vt:lpstr>cv_shift_type</vt:lpstr>
      <vt:lpstr>data_table_1</vt:lpstr>
      <vt:lpstr>dates</vt:lpstr>
      <vt:lpstr>degree_of_difficulty</vt:lpstr>
      <vt:lpstr>depn</vt:lpstr>
      <vt:lpstr>discount_rate</vt:lpstr>
      <vt:lpstr>div_payout_ratio</vt:lpstr>
      <vt:lpstr>equity_data_table</vt:lpstr>
      <vt:lpstr>fixed_assets_per_sales</vt:lpstr>
      <vt:lpstr>functions_aggregating</vt:lpstr>
      <vt:lpstr>functions_averaging</vt:lpstr>
      <vt:lpstr>functions_charting</vt:lpstr>
      <vt:lpstr>functions_filtering</vt:lpstr>
      <vt:lpstr>functions_highlighting</vt:lpstr>
      <vt:lpstr>functions_interpolating</vt:lpstr>
      <vt:lpstr>functions_looking_up</vt:lpstr>
      <vt:lpstr>functions_prioritising</vt:lpstr>
      <vt:lpstr>functions_ranking</vt:lpstr>
      <vt:lpstr>functions_ratesensitising</vt:lpstr>
      <vt:lpstr>functions_rounding</vt:lpstr>
      <vt:lpstr>functions_Scenario_Analysing</vt:lpstr>
      <vt:lpstr>functions_scheduling</vt:lpstr>
      <vt:lpstr>functions_seasonalising</vt:lpstr>
      <vt:lpstr>functions_sensitising_value</vt:lpstr>
      <vt:lpstr>functions_used</vt:lpstr>
      <vt:lpstr>functions_used_1</vt:lpstr>
      <vt:lpstr>functions_used_2</vt:lpstr>
      <vt:lpstr>functions_valuing_option</vt:lpstr>
      <vt:lpstr>hh_about</vt:lpstr>
      <vt:lpstr>hh_aggregating</vt:lpstr>
      <vt:lpstr>hh_AND_logical</vt:lpstr>
      <vt:lpstr>hh_Averaging</vt:lpstr>
      <vt:lpstr>hh_charting</vt:lpstr>
      <vt:lpstr>hh_choose_scenario</vt:lpstr>
      <vt:lpstr>hh_Combine_1</vt:lpstr>
      <vt:lpstr>hh_Combine_2</vt:lpstr>
      <vt:lpstr>hh_Combine_3</vt:lpstr>
      <vt:lpstr>hh_Combine_4</vt:lpstr>
      <vt:lpstr>hh_conditional_counting</vt:lpstr>
      <vt:lpstr>hh_COUNTIF_concat</vt:lpstr>
      <vt:lpstr>hh_cubic_spline</vt:lpstr>
      <vt:lpstr>hh_Ex_1</vt:lpstr>
      <vt:lpstr>hh_Ex_2</vt:lpstr>
      <vt:lpstr>hh_Ex_3</vt:lpstr>
      <vt:lpstr>hh_Ex_4</vt:lpstr>
      <vt:lpstr>hh_Ex_Acc_Bal</vt:lpstr>
      <vt:lpstr>hh_ex_cashflows</vt:lpstr>
      <vt:lpstr>hh_ex_complex_lookups</vt:lpstr>
      <vt:lpstr>hh_ex_interpolating</vt:lpstr>
      <vt:lpstr>hh_Ex_Status</vt:lpstr>
      <vt:lpstr>hh_filtering</vt:lpstr>
      <vt:lpstr>hh_fn_ABS</vt:lpstr>
      <vt:lpstr>hh_fn_AND</vt:lpstr>
      <vt:lpstr>hh_fn_AVERAGE</vt:lpstr>
      <vt:lpstr>hh_fn_CHOOSE</vt:lpstr>
      <vt:lpstr>hh_fn_COUNT</vt:lpstr>
      <vt:lpstr>hh_fn_COUNTIF</vt:lpstr>
      <vt:lpstr>hh_fn_IF</vt:lpstr>
      <vt:lpstr>hh_fn_ISNA</vt:lpstr>
      <vt:lpstr>hh_fn_LARGE</vt:lpstr>
      <vt:lpstr>hh_fn_LEFT</vt:lpstr>
      <vt:lpstr>hh_fn_LEN</vt:lpstr>
      <vt:lpstr>hh_fn_LOOKUP</vt:lpstr>
      <vt:lpstr>hh_fn_MATCH</vt:lpstr>
      <vt:lpstr>hh_fn_MAX</vt:lpstr>
      <vt:lpstr>hh_fn_MID</vt:lpstr>
      <vt:lpstr>hh_fn_MIN</vt:lpstr>
      <vt:lpstr>hh_fn_OFFSET</vt:lpstr>
      <vt:lpstr>hh_fn_OR</vt:lpstr>
      <vt:lpstr>hh_fn_RIGHT</vt:lpstr>
      <vt:lpstr>hh_fn_SUM</vt:lpstr>
      <vt:lpstr>hh_fn_SUMPRODUCT</vt:lpstr>
      <vt:lpstr>hh_fn_VLOOKUP</vt:lpstr>
      <vt:lpstr>hh_highlight_dups</vt:lpstr>
      <vt:lpstr>hh_highlight_topN</vt:lpstr>
      <vt:lpstr>hh_Highlighting</vt:lpstr>
      <vt:lpstr>hh_IF_compound</vt:lpstr>
      <vt:lpstr>hh_index</vt:lpstr>
      <vt:lpstr>hh_indexx</vt:lpstr>
      <vt:lpstr>hh_interp_stat</vt:lpstr>
      <vt:lpstr>hh_interp_stepped</vt:lpstr>
      <vt:lpstr>hh_interpolating</vt:lpstr>
      <vt:lpstr>hh_LARGE_quartile</vt:lpstr>
      <vt:lpstr>hh_LARGE_sort</vt:lpstr>
      <vt:lpstr>hh_Looking_Up</vt:lpstr>
      <vt:lpstr>hh_Next</vt:lpstr>
      <vt:lpstr>hh_OFFSET_3_args</vt:lpstr>
      <vt:lpstr>hh_offset_average</vt:lpstr>
      <vt:lpstr>hh_OFFSET_f_args</vt:lpstr>
      <vt:lpstr>hh_OFFSET_p_n</vt:lpstr>
      <vt:lpstr>hh_offset_scenario</vt:lpstr>
      <vt:lpstr>hh_piecewise_linear</vt:lpstr>
      <vt:lpstr>hh_prioritising</vt:lpstr>
      <vt:lpstr>hh_ranking</vt:lpstr>
      <vt:lpstr>hh_ratesensitising</vt:lpstr>
      <vt:lpstr>hh_rounding</vt:lpstr>
      <vt:lpstr>hh_scenario_analysing</vt:lpstr>
      <vt:lpstr>hh_scheduling</vt:lpstr>
      <vt:lpstr>hh_seasonalising</vt:lpstr>
      <vt:lpstr>hh_sensitising_value</vt:lpstr>
      <vt:lpstr>hh_SUM_diffs</vt:lpstr>
      <vt:lpstr>hh_SUMPRODUCT_group</vt:lpstr>
      <vt:lpstr>hh_Valuing_Option</vt:lpstr>
      <vt:lpstr>hh_VB</vt:lpstr>
      <vt:lpstr>hh_xref</vt:lpstr>
      <vt:lpstr>hm_about</vt:lpstr>
      <vt:lpstr>hm_aggregating</vt:lpstr>
      <vt:lpstr>hm_averaging</vt:lpstr>
      <vt:lpstr>hm_charting</vt:lpstr>
      <vt:lpstr>hm_Combine_1</vt:lpstr>
      <vt:lpstr>hm_Combine_2</vt:lpstr>
      <vt:lpstr>hm_Combine_3</vt:lpstr>
      <vt:lpstr>hm_Combine_4</vt:lpstr>
      <vt:lpstr>hm_Ex_1</vt:lpstr>
      <vt:lpstr>hm_Ex_2</vt:lpstr>
      <vt:lpstr>hm_Ex_3</vt:lpstr>
      <vt:lpstr>hm_Ex_4</vt:lpstr>
      <vt:lpstr>hm_Ex_Acc_Bal</vt:lpstr>
      <vt:lpstr>hm_Ex_Status</vt:lpstr>
      <vt:lpstr>hm_filtering</vt:lpstr>
      <vt:lpstr>hm_fn_ABS</vt:lpstr>
      <vt:lpstr>hm_fn_AND</vt:lpstr>
      <vt:lpstr>hm_fn_AVERAGE</vt:lpstr>
      <vt:lpstr>hm_fn_CHOOSE</vt:lpstr>
      <vt:lpstr>hm_fn_COUNT</vt:lpstr>
      <vt:lpstr>hm_fn_COUNTIF</vt:lpstr>
      <vt:lpstr>hm_fn_IF</vt:lpstr>
      <vt:lpstr>hm_fn_ISNA</vt:lpstr>
      <vt:lpstr>hm_fn_LARGE</vt:lpstr>
      <vt:lpstr>hm_fn_LEFT</vt:lpstr>
      <vt:lpstr>hm_fn_LOOKUP</vt:lpstr>
      <vt:lpstr>hm_fn_MATCH</vt:lpstr>
      <vt:lpstr>hm_fn_MAX</vt:lpstr>
      <vt:lpstr>hm_fn_OFFSET</vt:lpstr>
      <vt:lpstr>hm_fn_SUM</vt:lpstr>
      <vt:lpstr>hm_fn_SUMPRODUCT</vt:lpstr>
      <vt:lpstr>hm_fn_VLOOKUP</vt:lpstr>
      <vt:lpstr>hm_highlighting</vt:lpstr>
      <vt:lpstr>hm_index</vt:lpstr>
      <vt:lpstr>hm_indexx</vt:lpstr>
      <vt:lpstr>hm_interpolating</vt:lpstr>
      <vt:lpstr>hm_looking_up</vt:lpstr>
      <vt:lpstr>hm_Next</vt:lpstr>
      <vt:lpstr>hm_prioritising</vt:lpstr>
      <vt:lpstr>hm_ranking</vt:lpstr>
      <vt:lpstr>hm_ratesensitising</vt:lpstr>
      <vt:lpstr>hm_rounding</vt:lpstr>
      <vt:lpstr>hm_scenario_analysing</vt:lpstr>
      <vt:lpstr>hm_scheduling</vt:lpstr>
      <vt:lpstr>hm_seasonalising</vt:lpstr>
      <vt:lpstr>hm_sensitising_value</vt:lpstr>
      <vt:lpstr>hm_valuing_option</vt:lpstr>
      <vt:lpstr>hm_vb</vt:lpstr>
      <vt:lpstr>hm_xref</vt:lpstr>
      <vt:lpstr>home_address</vt:lpstr>
      <vt:lpstr>index_about_col</vt:lpstr>
      <vt:lpstr>index_bottom_page</vt:lpstr>
      <vt:lpstr>index_bottom_row</vt:lpstr>
      <vt:lpstr>index_description_col</vt:lpstr>
      <vt:lpstr>index_left_col</vt:lpstr>
      <vt:lpstr>index_page_col</vt:lpstr>
      <vt:lpstr>index_right_col</vt:lpstr>
      <vt:lpstr>index_section_col</vt:lpstr>
      <vt:lpstr>index_top_page</vt:lpstr>
      <vt:lpstr>index_top_row</vt:lpstr>
      <vt:lpstr>int_on_cash</vt:lpstr>
      <vt:lpstr>int_on_debt</vt:lpstr>
      <vt:lpstr>last_col_about</vt:lpstr>
      <vt:lpstr>last_col_aggregating</vt:lpstr>
      <vt:lpstr>last_col_averaging</vt:lpstr>
      <vt:lpstr>last_col_charting</vt:lpstr>
      <vt:lpstr>last_col_Combine_1</vt:lpstr>
      <vt:lpstr>last_col_Combine_2</vt:lpstr>
      <vt:lpstr>last_col_Combine_3</vt:lpstr>
      <vt:lpstr>last_col_Combine_4</vt:lpstr>
      <vt:lpstr>last_col_Ex_1</vt:lpstr>
      <vt:lpstr>last_col_Ex_2</vt:lpstr>
      <vt:lpstr>last_col_Ex_3</vt:lpstr>
      <vt:lpstr>last_col_Ex_4</vt:lpstr>
      <vt:lpstr>last_col_Ex_Acc_Bal</vt:lpstr>
      <vt:lpstr>last_col_Ex_Status</vt:lpstr>
      <vt:lpstr>last_col_filtering</vt:lpstr>
      <vt:lpstr>last_col_fn_ABS</vt:lpstr>
      <vt:lpstr>last_col_fn_AND</vt:lpstr>
      <vt:lpstr>last_col_fn_AVERAGE</vt:lpstr>
      <vt:lpstr>last_col_fn_CHOOSE</vt:lpstr>
      <vt:lpstr>last_col_fn_COUNT</vt:lpstr>
      <vt:lpstr>last_col_fn_COUNTIF</vt:lpstr>
      <vt:lpstr>last_col_fn_IF</vt:lpstr>
      <vt:lpstr>last_col_fn_ISNA</vt:lpstr>
      <vt:lpstr>last_col_fn_LARGE</vt:lpstr>
      <vt:lpstr>last_col_fn_LEFT</vt:lpstr>
      <vt:lpstr>last_col_fn_LOOKUP</vt:lpstr>
      <vt:lpstr>last_col_fn_MATCH</vt:lpstr>
      <vt:lpstr>last_col_fn_MAX</vt:lpstr>
      <vt:lpstr>last_col_fn_OFFSET</vt:lpstr>
      <vt:lpstr>last_col_FN_SUM</vt:lpstr>
      <vt:lpstr>last_col_fn_SUMPRODUCT</vt:lpstr>
      <vt:lpstr>last_col_fn_VLOOKUP</vt:lpstr>
      <vt:lpstr>last_col_highlighting</vt:lpstr>
      <vt:lpstr>last_col_index</vt:lpstr>
      <vt:lpstr>last_col_indexx</vt:lpstr>
      <vt:lpstr>last_col_interpolating</vt:lpstr>
      <vt:lpstr>last_col_looking_up</vt:lpstr>
      <vt:lpstr>last_col_Next</vt:lpstr>
      <vt:lpstr>last_col_prioritising</vt:lpstr>
      <vt:lpstr>last_col_ranking</vt:lpstr>
      <vt:lpstr>last_col_ratesensitising</vt:lpstr>
      <vt:lpstr>last_col_rounding</vt:lpstr>
      <vt:lpstr>last_col_scenario_analysing</vt:lpstr>
      <vt:lpstr>last_col_scheduling</vt:lpstr>
      <vt:lpstr>last_col_seasonalising</vt:lpstr>
      <vt:lpstr>last_col_Sensitising_Value</vt:lpstr>
      <vt:lpstr>last_col_valuing_option</vt:lpstr>
      <vt:lpstr>last_col_VB</vt:lpstr>
      <vt:lpstr>last_col_xref</vt:lpstr>
      <vt:lpstr>last_row_about</vt:lpstr>
      <vt:lpstr>last_row_aggregating</vt:lpstr>
      <vt:lpstr>last_row_averaging</vt:lpstr>
      <vt:lpstr>last_row_charting</vt:lpstr>
      <vt:lpstr>last_row_Combine_1</vt:lpstr>
      <vt:lpstr>last_row_Combine_2</vt:lpstr>
      <vt:lpstr>last_row_Combine_3</vt:lpstr>
      <vt:lpstr>last_row_Combine_4</vt:lpstr>
      <vt:lpstr>last_row_Ex_1</vt:lpstr>
      <vt:lpstr>last_row_Ex_2</vt:lpstr>
      <vt:lpstr>last_row_Ex_3</vt:lpstr>
      <vt:lpstr>last_row_Ex_4</vt:lpstr>
      <vt:lpstr>last_row_Ex_Acc_Bal</vt:lpstr>
      <vt:lpstr>last_row_Ex_Status</vt:lpstr>
      <vt:lpstr>last_row_filtering</vt:lpstr>
      <vt:lpstr>last_row_fn_ABS</vt:lpstr>
      <vt:lpstr>last_row_fn_AND</vt:lpstr>
      <vt:lpstr>last_row_fn_AVERAGE</vt:lpstr>
      <vt:lpstr>last_row_fn_CHOOSE</vt:lpstr>
      <vt:lpstr>last_row_fn_COUNT</vt:lpstr>
      <vt:lpstr>last_row_fn_COUNTIF</vt:lpstr>
      <vt:lpstr>last_row_fn_IF</vt:lpstr>
      <vt:lpstr>last_row_fn_ISNA</vt:lpstr>
      <vt:lpstr>last_row_fn_LARGE</vt:lpstr>
      <vt:lpstr>last_row_fn_LEFT</vt:lpstr>
      <vt:lpstr>last_row_fn_LOOKUP</vt:lpstr>
      <vt:lpstr>last_row_fn_MATCH</vt:lpstr>
      <vt:lpstr>last_row_fn_MAX</vt:lpstr>
      <vt:lpstr>last_row_fn_OFFSET</vt:lpstr>
      <vt:lpstr>last_row_fn_SUM</vt:lpstr>
      <vt:lpstr>last_row_fn_SUMPRODUCT</vt:lpstr>
      <vt:lpstr>last_row_fn_VLOOKUP</vt:lpstr>
      <vt:lpstr>last_row_highlighting</vt:lpstr>
      <vt:lpstr>last_row_index</vt:lpstr>
      <vt:lpstr>last_row_indexx</vt:lpstr>
      <vt:lpstr>last_row_interpolating</vt:lpstr>
      <vt:lpstr>last_row_looking_up</vt:lpstr>
      <vt:lpstr>last_row_Next</vt:lpstr>
      <vt:lpstr>last_row_prioritising</vt:lpstr>
      <vt:lpstr>last_row_ranking</vt:lpstr>
      <vt:lpstr>last_row_ratesensitising</vt:lpstr>
      <vt:lpstr>last_row_rounding</vt:lpstr>
      <vt:lpstr>last_row_scenario_analysing</vt:lpstr>
      <vt:lpstr>last_row_scheduling</vt:lpstr>
      <vt:lpstr>last_row_seasonalising</vt:lpstr>
      <vt:lpstr>last_row_Sensitising_Value</vt:lpstr>
      <vt:lpstr>last_row_valuing_option</vt:lpstr>
      <vt:lpstr>last_row_VB</vt:lpstr>
      <vt:lpstr>last_row_xref</vt:lpstr>
      <vt:lpstr>links</vt:lpstr>
      <vt:lpstr>links_evaluation</vt:lpstr>
      <vt:lpstr>links_vb</vt:lpstr>
      <vt:lpstr>links_workshops</vt:lpstr>
      <vt:lpstr>merge_level</vt:lpstr>
      <vt:lpstr>Moving_average</vt:lpstr>
      <vt:lpstr>msg_attempted_incomplete</vt:lpstr>
      <vt:lpstr>msg_completed</vt:lpstr>
      <vt:lpstr>msg_not_attempted</vt:lpstr>
      <vt:lpstr>names_aggregating</vt:lpstr>
      <vt:lpstr>names_averaging</vt:lpstr>
      <vt:lpstr>names_charting</vt:lpstr>
      <vt:lpstr>names_filtering</vt:lpstr>
      <vt:lpstr>names_highlighting</vt:lpstr>
      <vt:lpstr>names_interpolating</vt:lpstr>
      <vt:lpstr>names_looking_up</vt:lpstr>
      <vt:lpstr>names_prioritising</vt:lpstr>
      <vt:lpstr>names_ranking</vt:lpstr>
      <vt:lpstr>names_ratesensitising</vt:lpstr>
      <vt:lpstr>names_rounding</vt:lpstr>
      <vt:lpstr>names_scenario_analysing</vt:lpstr>
      <vt:lpstr>names_scheduling</vt:lpstr>
      <vt:lpstr>names_seasonalising</vt:lpstr>
      <vt:lpstr>names_sensitising_value</vt:lpstr>
      <vt:lpstr>names_valuing_option</vt:lpstr>
      <vt:lpstr>next_page</vt:lpstr>
      <vt:lpstr>num_chart_items</vt:lpstr>
      <vt:lpstr>option_type_table</vt:lpstr>
      <vt:lpstr>page_About</vt:lpstr>
      <vt:lpstr>page_Aggregating</vt:lpstr>
      <vt:lpstr>page_Averaging</vt:lpstr>
      <vt:lpstr>page_Charting</vt:lpstr>
      <vt:lpstr>page_Combine_1</vt:lpstr>
      <vt:lpstr>page_Combine_2</vt:lpstr>
      <vt:lpstr>page_Combine_3</vt:lpstr>
      <vt:lpstr>page_Combine_4</vt:lpstr>
      <vt:lpstr>page_Ex_1</vt:lpstr>
      <vt:lpstr>page_Ex_2</vt:lpstr>
      <vt:lpstr>page_Ex_3</vt:lpstr>
      <vt:lpstr>page_Ex_4</vt:lpstr>
      <vt:lpstr>page_Ex_Acc_Bal</vt:lpstr>
      <vt:lpstr>page_Ex_Others</vt:lpstr>
      <vt:lpstr>page_Ex_Status</vt:lpstr>
      <vt:lpstr>page_Filtering</vt:lpstr>
      <vt:lpstr>page_fn_ABS</vt:lpstr>
      <vt:lpstr>page_fn_AND</vt:lpstr>
      <vt:lpstr>page_fn_AVERAGE</vt:lpstr>
      <vt:lpstr>page_fn_CHOOSE</vt:lpstr>
      <vt:lpstr>page_fn_COUNT</vt:lpstr>
      <vt:lpstr>page_fn_COUNTIF</vt:lpstr>
      <vt:lpstr>page_fn_IF</vt:lpstr>
      <vt:lpstr>page_fn_ISNA</vt:lpstr>
      <vt:lpstr>page_fn_LARGE</vt:lpstr>
      <vt:lpstr>page_fn_LEFT</vt:lpstr>
      <vt:lpstr>page_fn_LOOKUP</vt:lpstr>
      <vt:lpstr>page_fn_MATCH</vt:lpstr>
      <vt:lpstr>page_fn_MAX</vt:lpstr>
      <vt:lpstr>page_fn_OFFSET</vt:lpstr>
      <vt:lpstr>page_fn_Others</vt:lpstr>
      <vt:lpstr>page_fn_SUM</vt:lpstr>
      <vt:lpstr>page_fn_SUMPRODUCT</vt:lpstr>
      <vt:lpstr>page_fn_VLOOKUP</vt:lpstr>
      <vt:lpstr>page_Highlighting</vt:lpstr>
      <vt:lpstr>page_index</vt:lpstr>
      <vt:lpstr>page_Indexx</vt:lpstr>
      <vt:lpstr>page_Interpolating</vt:lpstr>
      <vt:lpstr>page_Looking_Up</vt:lpstr>
      <vt:lpstr>page_Next</vt:lpstr>
      <vt:lpstr>page_prefix</vt:lpstr>
      <vt:lpstr>page_Prioritising</vt:lpstr>
      <vt:lpstr>page_Ranking</vt:lpstr>
      <vt:lpstr>page_ratesensitising</vt:lpstr>
      <vt:lpstr>page_rounding</vt:lpstr>
      <vt:lpstr>page_Scenario_Analysing</vt:lpstr>
      <vt:lpstr>page_Scheduling</vt:lpstr>
      <vt:lpstr>page_seasonalising</vt:lpstr>
      <vt:lpstr>page_Sensitising_Value</vt:lpstr>
      <vt:lpstr>page_suffix</vt:lpstr>
      <vt:lpstr>page_Valuing_Option</vt:lpstr>
      <vt:lpstr>page_VB</vt:lpstr>
      <vt:lpstr>page_xref</vt:lpstr>
      <vt:lpstr>page_Your_own</vt:lpstr>
      <vt:lpstr>previous_page</vt:lpstr>
      <vt:lpstr>About!Print_Area</vt:lpstr>
      <vt:lpstr>Aggregating!Print_Area</vt:lpstr>
      <vt:lpstr>Averaging!Print_Area</vt:lpstr>
      <vt:lpstr>Charting!Print_Area</vt:lpstr>
      <vt:lpstr>Combine_1!Print_Area</vt:lpstr>
      <vt:lpstr>Combine_2!Print_Area</vt:lpstr>
      <vt:lpstr>Combine_3!Print_Area</vt:lpstr>
      <vt:lpstr>Combine_4!Print_Area</vt:lpstr>
      <vt:lpstr>Ex_1!Print_Area</vt:lpstr>
      <vt:lpstr>Ex_2!Print_Area</vt:lpstr>
      <vt:lpstr>Ex_3!Print_Area</vt:lpstr>
      <vt:lpstr>Ex_4!Print_Area</vt:lpstr>
      <vt:lpstr>Ex_Acc_Bal!Print_Area</vt:lpstr>
      <vt:lpstr>Ex_Status!Print_Area</vt:lpstr>
      <vt:lpstr>Filtering!Print_Area</vt:lpstr>
      <vt:lpstr>fn_ABS!Print_Area</vt:lpstr>
      <vt:lpstr>fn_AND!Print_Area</vt:lpstr>
      <vt:lpstr>fn_AVERAGE!Print_Area</vt:lpstr>
      <vt:lpstr>fn_CHOOSE!Print_Area</vt:lpstr>
      <vt:lpstr>fn_COUNT!Print_Area</vt:lpstr>
      <vt:lpstr>fn_COUNTIF!Print_Area</vt:lpstr>
      <vt:lpstr>fn_IF!Print_Area</vt:lpstr>
      <vt:lpstr>fn_ISNA!Print_Area</vt:lpstr>
      <vt:lpstr>fn_LARGE!Print_Area</vt:lpstr>
      <vt:lpstr>fn_LEFT!Print_Area</vt:lpstr>
      <vt:lpstr>fn_LOOKUP!Print_Area</vt:lpstr>
      <vt:lpstr>fn_MATCH!Print_Area</vt:lpstr>
      <vt:lpstr>fn_MAX!Print_Area</vt:lpstr>
      <vt:lpstr>fn_OFFSET!Print_Area</vt:lpstr>
      <vt:lpstr>fn_SUM!Print_Area</vt:lpstr>
      <vt:lpstr>fn_SUMPRODUCT!Print_Area</vt:lpstr>
      <vt:lpstr>fn_VLOOKUP!Print_Area</vt:lpstr>
      <vt:lpstr>Highlighting!Print_Area</vt:lpstr>
      <vt:lpstr>Index!Print_Area</vt:lpstr>
      <vt:lpstr>Interpolating!Print_Area</vt:lpstr>
      <vt:lpstr>Looking_Up!Print_Area</vt:lpstr>
      <vt:lpstr>Next!Print_Area</vt:lpstr>
      <vt:lpstr>Prioritising!Print_Area</vt:lpstr>
      <vt:lpstr>Ranking!Print_Area</vt:lpstr>
      <vt:lpstr>RateSensitising!Print_Area</vt:lpstr>
      <vt:lpstr>Rounding!Print_Area</vt:lpstr>
      <vt:lpstr>Scenario_Analysing!Print_Area</vt:lpstr>
      <vt:lpstr>Scheduling!Print_Area</vt:lpstr>
      <vt:lpstr>Seasonalising!Print_Area</vt:lpstr>
      <vt:lpstr>Sensitising_Value!Print_Area</vt:lpstr>
      <vt:lpstr>Valuing_Option!Print_Area</vt:lpstr>
      <vt:lpstr>VB!Print_Area</vt:lpstr>
      <vt:lpstr>xref!Print_Area</vt:lpstr>
      <vt:lpstr>qa_1</vt:lpstr>
      <vt:lpstr>qa_2</vt:lpstr>
      <vt:lpstr>qa_3</vt:lpstr>
      <vt:lpstr>qa_4</vt:lpstr>
      <vt:lpstr>qa_5</vt:lpstr>
      <vt:lpstr>scenario</vt:lpstr>
      <vt:lpstr>scenario_choose</vt:lpstr>
      <vt:lpstr>season_extrapolate</vt:lpstr>
      <vt:lpstr>season_interpolate</vt:lpstr>
      <vt:lpstr>season_q1</vt:lpstr>
      <vt:lpstr>season_q2</vt:lpstr>
      <vt:lpstr>season_q3</vt:lpstr>
      <vt:lpstr>season_q4</vt:lpstr>
      <vt:lpstr>season_rnd_season</vt:lpstr>
      <vt:lpstr>season_rnd_trend</vt:lpstr>
      <vt:lpstr>season_trend</vt:lpstr>
      <vt:lpstr>see_summary</vt:lpstr>
      <vt:lpstr>sftl_1</vt:lpstr>
      <vt:lpstr>sftl_10</vt:lpstr>
      <vt:lpstr>sftl_100</vt:lpstr>
      <vt:lpstr>sftl_101</vt:lpstr>
      <vt:lpstr>sftl_102</vt:lpstr>
      <vt:lpstr>sftl_103</vt:lpstr>
      <vt:lpstr>sftl_104</vt:lpstr>
      <vt:lpstr>sftl_105</vt:lpstr>
      <vt:lpstr>sftl_106</vt:lpstr>
      <vt:lpstr>sftl_107</vt:lpstr>
      <vt:lpstr>sftl_108</vt:lpstr>
      <vt:lpstr>sftl_109</vt:lpstr>
      <vt:lpstr>sftl_11</vt:lpstr>
      <vt:lpstr>sftl_110</vt:lpstr>
      <vt:lpstr>sftl_111</vt:lpstr>
      <vt:lpstr>sftl_112</vt:lpstr>
      <vt:lpstr>sftl_113</vt:lpstr>
      <vt:lpstr>sftl_114</vt:lpstr>
      <vt:lpstr>sftl_115</vt:lpstr>
      <vt:lpstr>sftl_116</vt:lpstr>
      <vt:lpstr>sftl_117</vt:lpstr>
      <vt:lpstr>sftl_118</vt:lpstr>
      <vt:lpstr>sftl_119</vt:lpstr>
      <vt:lpstr>sftl_12</vt:lpstr>
      <vt:lpstr>sftl_120</vt:lpstr>
      <vt:lpstr>sftl_121</vt:lpstr>
      <vt:lpstr>sftl_122</vt:lpstr>
      <vt:lpstr>sftl_123</vt:lpstr>
      <vt:lpstr>sftl_124</vt:lpstr>
      <vt:lpstr>sftl_125</vt:lpstr>
      <vt:lpstr>sftl_126</vt:lpstr>
      <vt:lpstr>sftl_127</vt:lpstr>
      <vt:lpstr>sftl_128</vt:lpstr>
      <vt:lpstr>sftl_129</vt:lpstr>
      <vt:lpstr>sftl_13</vt:lpstr>
      <vt:lpstr>sftl_130</vt:lpstr>
      <vt:lpstr>sftl_131</vt:lpstr>
      <vt:lpstr>sftl_132</vt:lpstr>
      <vt:lpstr>sftl_133</vt:lpstr>
      <vt:lpstr>sftl_134</vt:lpstr>
      <vt:lpstr>sftl_135</vt:lpstr>
      <vt:lpstr>sftl_136</vt:lpstr>
      <vt:lpstr>sftl_137</vt:lpstr>
      <vt:lpstr>sftl_138</vt:lpstr>
      <vt:lpstr>sftl_139</vt:lpstr>
      <vt:lpstr>sftl_14</vt:lpstr>
      <vt:lpstr>sftl_140</vt:lpstr>
      <vt:lpstr>sftl_141</vt:lpstr>
      <vt:lpstr>sftl_142</vt:lpstr>
      <vt:lpstr>sftl_143</vt:lpstr>
      <vt:lpstr>sftl_144</vt:lpstr>
      <vt:lpstr>sftl_145</vt:lpstr>
      <vt:lpstr>sftl_146</vt:lpstr>
      <vt:lpstr>sftl_147</vt:lpstr>
      <vt:lpstr>sftl_148</vt:lpstr>
      <vt:lpstr>sftl_149</vt:lpstr>
      <vt:lpstr>sftl_15</vt:lpstr>
      <vt:lpstr>sftl_150</vt:lpstr>
      <vt:lpstr>sftl_151</vt:lpstr>
      <vt:lpstr>sftl_152</vt:lpstr>
      <vt:lpstr>sftl_153</vt:lpstr>
      <vt:lpstr>sftl_154</vt:lpstr>
      <vt:lpstr>sftl_155</vt:lpstr>
      <vt:lpstr>sftl_156</vt:lpstr>
      <vt:lpstr>sftl_157</vt:lpstr>
      <vt:lpstr>sftl_158</vt:lpstr>
      <vt:lpstr>sftl_159</vt:lpstr>
      <vt:lpstr>sftl_16</vt:lpstr>
      <vt:lpstr>sftl_160</vt:lpstr>
      <vt:lpstr>sftl_161</vt:lpstr>
      <vt:lpstr>sftl_162</vt:lpstr>
      <vt:lpstr>sftl_163</vt:lpstr>
      <vt:lpstr>sftl_164</vt:lpstr>
      <vt:lpstr>sftl_165</vt:lpstr>
      <vt:lpstr>sftl_166</vt:lpstr>
      <vt:lpstr>sftl_167</vt:lpstr>
      <vt:lpstr>sftl_168</vt:lpstr>
      <vt:lpstr>sftl_169</vt:lpstr>
      <vt:lpstr>sftl_17</vt:lpstr>
      <vt:lpstr>sftl_170</vt:lpstr>
      <vt:lpstr>sftl_171</vt:lpstr>
      <vt:lpstr>sftl_172</vt:lpstr>
      <vt:lpstr>sftl_173</vt:lpstr>
      <vt:lpstr>sftl_174</vt:lpstr>
      <vt:lpstr>sftl_175</vt:lpstr>
      <vt:lpstr>sftl_176</vt:lpstr>
      <vt:lpstr>sftl_177</vt:lpstr>
      <vt:lpstr>sftl_178</vt:lpstr>
      <vt:lpstr>sftl_179</vt:lpstr>
      <vt:lpstr>sftl_18</vt:lpstr>
      <vt:lpstr>sftl_180</vt:lpstr>
      <vt:lpstr>sftl_181</vt:lpstr>
      <vt:lpstr>sftl_182</vt:lpstr>
      <vt:lpstr>sftl_183</vt:lpstr>
      <vt:lpstr>sftl_184</vt:lpstr>
      <vt:lpstr>sftl_185</vt:lpstr>
      <vt:lpstr>sftl_186</vt:lpstr>
      <vt:lpstr>sftl_187</vt:lpstr>
      <vt:lpstr>sftl_19</vt:lpstr>
      <vt:lpstr>sftl_2</vt:lpstr>
      <vt:lpstr>sftl_20</vt:lpstr>
      <vt:lpstr>sftl_21</vt:lpstr>
      <vt:lpstr>sftl_22</vt:lpstr>
      <vt:lpstr>sftl_23</vt:lpstr>
      <vt:lpstr>sftl_24</vt:lpstr>
      <vt:lpstr>sftl_25</vt:lpstr>
      <vt:lpstr>sftl_26</vt:lpstr>
      <vt:lpstr>sftl_27</vt:lpstr>
      <vt:lpstr>sftl_28</vt:lpstr>
      <vt:lpstr>sftl_29</vt:lpstr>
      <vt:lpstr>sftl_3</vt:lpstr>
      <vt:lpstr>sftl_30</vt:lpstr>
      <vt:lpstr>sftl_31</vt:lpstr>
      <vt:lpstr>sftl_32</vt:lpstr>
      <vt:lpstr>sftl_33</vt:lpstr>
      <vt:lpstr>sftl_34</vt:lpstr>
      <vt:lpstr>sftl_35</vt:lpstr>
      <vt:lpstr>sftl_36</vt:lpstr>
      <vt:lpstr>sftl_37</vt:lpstr>
      <vt:lpstr>sftl_38</vt:lpstr>
      <vt:lpstr>sftl_39</vt:lpstr>
      <vt:lpstr>sftl_4</vt:lpstr>
      <vt:lpstr>sftl_40</vt:lpstr>
      <vt:lpstr>sftl_41</vt:lpstr>
      <vt:lpstr>sftl_42</vt:lpstr>
      <vt:lpstr>sftl_43</vt:lpstr>
      <vt:lpstr>sftl_44</vt:lpstr>
      <vt:lpstr>sftl_45</vt:lpstr>
      <vt:lpstr>sftl_46</vt:lpstr>
      <vt:lpstr>sftl_47</vt:lpstr>
      <vt:lpstr>sftl_48</vt:lpstr>
      <vt:lpstr>sftl_49</vt:lpstr>
      <vt:lpstr>sftl_5</vt:lpstr>
      <vt:lpstr>sftl_50</vt:lpstr>
      <vt:lpstr>sftl_51</vt:lpstr>
      <vt:lpstr>sftl_52</vt:lpstr>
      <vt:lpstr>sftl_53</vt:lpstr>
      <vt:lpstr>sftl_54</vt:lpstr>
      <vt:lpstr>sftl_55</vt:lpstr>
      <vt:lpstr>sftl_56</vt:lpstr>
      <vt:lpstr>sftl_57</vt:lpstr>
      <vt:lpstr>sftl_58</vt:lpstr>
      <vt:lpstr>sftl_59</vt:lpstr>
      <vt:lpstr>sftl_6</vt:lpstr>
      <vt:lpstr>sftl_60</vt:lpstr>
      <vt:lpstr>sftl_61</vt:lpstr>
      <vt:lpstr>sftl_62</vt:lpstr>
      <vt:lpstr>sftl_63</vt:lpstr>
      <vt:lpstr>sftl_64</vt:lpstr>
      <vt:lpstr>sftl_65</vt:lpstr>
      <vt:lpstr>sftl_66</vt:lpstr>
      <vt:lpstr>sftl_67</vt:lpstr>
      <vt:lpstr>sftl_68</vt:lpstr>
      <vt:lpstr>sftl_69</vt:lpstr>
      <vt:lpstr>sftl_7</vt:lpstr>
      <vt:lpstr>sftl_70</vt:lpstr>
      <vt:lpstr>sftl_71</vt:lpstr>
      <vt:lpstr>sftl_72</vt:lpstr>
      <vt:lpstr>sftl_73</vt:lpstr>
      <vt:lpstr>sftl_74</vt:lpstr>
      <vt:lpstr>sftl_75</vt:lpstr>
      <vt:lpstr>sftl_76</vt:lpstr>
      <vt:lpstr>sftl_77</vt:lpstr>
      <vt:lpstr>sftl_78</vt:lpstr>
      <vt:lpstr>sftl_79</vt:lpstr>
      <vt:lpstr>sftl_8</vt:lpstr>
      <vt:lpstr>sftl_80</vt:lpstr>
      <vt:lpstr>sftl_81</vt:lpstr>
      <vt:lpstr>sftl_82</vt:lpstr>
      <vt:lpstr>sftl_83</vt:lpstr>
      <vt:lpstr>sftl_84</vt:lpstr>
      <vt:lpstr>sftl_85</vt:lpstr>
      <vt:lpstr>sftl_86</vt:lpstr>
      <vt:lpstr>sftl_87</vt:lpstr>
      <vt:lpstr>sftl_88</vt:lpstr>
      <vt:lpstr>sftl_89</vt:lpstr>
      <vt:lpstr>sftl_9</vt:lpstr>
      <vt:lpstr>sftl_90</vt:lpstr>
      <vt:lpstr>sftl_91</vt:lpstr>
      <vt:lpstr>sftl_92</vt:lpstr>
      <vt:lpstr>sftl_93</vt:lpstr>
      <vt:lpstr>sftl_94</vt:lpstr>
      <vt:lpstr>sftl_95</vt:lpstr>
      <vt:lpstr>sftl_96</vt:lpstr>
      <vt:lpstr>sftl_97</vt:lpstr>
      <vt:lpstr>sftl_98</vt:lpstr>
      <vt:lpstr>sftl_99</vt:lpstr>
      <vt:lpstr>tax</vt:lpstr>
      <vt:lpstr>title_ch_1</vt:lpstr>
      <vt:lpstr>title_ch_2</vt:lpstr>
      <vt:lpstr>title_ch_3</vt:lpstr>
      <vt:lpstr>title_ch_4</vt:lpstr>
      <vt:lpstr>title_ch_5</vt:lpstr>
      <vt:lpstr>title_index</vt:lpstr>
      <vt:lpstr>tr_1</vt:lpstr>
      <vt:lpstr>tr_2</vt:lpstr>
      <vt:lpstr>tr_3</vt:lpstr>
      <vt:lpstr>TVM</vt:lpstr>
      <vt:lpstr>version</vt:lpstr>
      <vt:lpstr>vs_1</vt:lpstr>
      <vt:lpstr>vs_10</vt:lpstr>
      <vt:lpstr>vs_11</vt:lpstr>
      <vt:lpstr>vs_12</vt:lpstr>
      <vt:lpstr>vs_13</vt:lpstr>
      <vt:lpstr>vs_14</vt:lpstr>
      <vt:lpstr>vs_15</vt:lpstr>
      <vt:lpstr>vs_16</vt:lpstr>
      <vt:lpstr>vs_17</vt:lpstr>
      <vt:lpstr>vs_18</vt:lpstr>
      <vt:lpstr>vs_19</vt:lpstr>
      <vt:lpstr>vs_2</vt:lpstr>
      <vt:lpstr>vs_20</vt:lpstr>
      <vt:lpstr>vs_21</vt:lpstr>
      <vt:lpstr>vs_22</vt:lpstr>
      <vt:lpstr>vs_23</vt:lpstr>
      <vt:lpstr>vs_24</vt:lpstr>
      <vt:lpstr>vs_25</vt:lpstr>
      <vt:lpstr>vs_26</vt:lpstr>
      <vt:lpstr>vs_27</vt:lpstr>
      <vt:lpstr>vs_28</vt:lpstr>
      <vt:lpstr>vs_29</vt:lpstr>
      <vt:lpstr>vs_3</vt:lpstr>
      <vt:lpstr>vs_30</vt:lpstr>
      <vt:lpstr>vs_31</vt:lpstr>
      <vt:lpstr>vs_32</vt:lpstr>
      <vt:lpstr>vs_33</vt:lpstr>
      <vt:lpstr>vs_34</vt:lpstr>
      <vt:lpstr>vs_35</vt:lpstr>
      <vt:lpstr>vs_36</vt:lpstr>
      <vt:lpstr>vs_37</vt:lpstr>
      <vt:lpstr>vs_38</vt:lpstr>
      <vt:lpstr>vs_39</vt:lpstr>
      <vt:lpstr>vs_4</vt:lpstr>
      <vt:lpstr>vs_40</vt:lpstr>
      <vt:lpstr>vs_41</vt:lpstr>
      <vt:lpstr>vs_42</vt:lpstr>
      <vt:lpstr>vs_43</vt:lpstr>
      <vt:lpstr>vs_44</vt:lpstr>
      <vt:lpstr>vs_45</vt:lpstr>
      <vt:lpstr>vs_46</vt:lpstr>
      <vt:lpstr>vs_47</vt:lpstr>
      <vt:lpstr>vs_48</vt:lpstr>
      <vt:lpstr>vs_49</vt:lpstr>
      <vt:lpstr>vs_5</vt:lpstr>
      <vt:lpstr>vs_50</vt:lpstr>
      <vt:lpstr>vs_51</vt:lpstr>
      <vt:lpstr>vs_52</vt:lpstr>
      <vt:lpstr>vs_53</vt:lpstr>
      <vt:lpstr>vs_54</vt:lpstr>
      <vt:lpstr>vs_55</vt:lpstr>
      <vt:lpstr>vs_56</vt:lpstr>
      <vt:lpstr>vs_57</vt:lpstr>
      <vt:lpstr>vs_58</vt:lpstr>
      <vt:lpstr>vs_59</vt:lpstr>
      <vt:lpstr>vs_6</vt:lpstr>
      <vt:lpstr>vs_60</vt:lpstr>
      <vt:lpstr>vs_61</vt:lpstr>
      <vt:lpstr>vs_62</vt:lpstr>
      <vt:lpstr>vs_63</vt:lpstr>
      <vt:lpstr>vs_64</vt:lpstr>
      <vt:lpstr>vs_65</vt:lpstr>
      <vt:lpstr>vs_66</vt:lpstr>
      <vt:lpstr>vs_67</vt:lpstr>
      <vt:lpstr>vs_68</vt:lpstr>
      <vt:lpstr>vs_69</vt:lpstr>
      <vt:lpstr>vs_7</vt:lpstr>
      <vt:lpstr>vs_70</vt:lpstr>
      <vt:lpstr>vs_71</vt:lpstr>
      <vt:lpstr>vs_72</vt:lpstr>
      <vt:lpstr>vs_73</vt:lpstr>
      <vt:lpstr>vs_74</vt:lpstr>
      <vt:lpstr>vs_75</vt:lpstr>
      <vt:lpstr>vs_76</vt:lpstr>
      <vt:lpstr>vs_77</vt:lpstr>
      <vt:lpstr>vs_78</vt:lpstr>
      <vt:lpstr>vs_79</vt:lpstr>
      <vt:lpstr>vs_8</vt:lpstr>
      <vt:lpstr>vs_80</vt:lpstr>
      <vt:lpstr>vs_81</vt:lpstr>
      <vt:lpstr>vs_82</vt:lpstr>
      <vt:lpstr>vs_83</vt:lpstr>
      <vt:lpstr>vs_84</vt:lpstr>
      <vt:lpstr>vs_85</vt:lpstr>
      <vt:lpstr>vs_86</vt:lpstr>
      <vt:lpstr>vs_87</vt:lpstr>
      <vt:lpstr>vs_88</vt:lpstr>
      <vt:lpstr>vs_89</vt:lpstr>
      <vt:lpstr>vs_9</vt:lpstr>
      <vt:lpstr>vs_90</vt:lpstr>
      <vt:lpstr>vs_91</vt:lpstr>
      <vt:lpstr>vs_92</vt:lpstr>
      <vt:lpstr>vs_93</vt:lpstr>
      <vt:lpstr>xref_examples_start</vt:lpstr>
      <vt:lpstr>xref_functions_start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tykoh</dc:creator>
  <cp:lastModifiedBy>Alex</cp:lastModifiedBy>
  <cp:lastPrinted>2010-02-03T03:32:38Z</cp:lastPrinted>
  <dcterms:created xsi:type="dcterms:W3CDTF">2009-12-16T02:25:47Z</dcterms:created>
  <dcterms:modified xsi:type="dcterms:W3CDTF">2020-11-26T21:54:29Z</dcterms:modified>
</cp:coreProperties>
</file>