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24226"/>
  <mc:AlternateContent xmlns:mc="http://schemas.openxmlformats.org/markup-compatibility/2006">
    <mc:Choice Requires="x15">
      <x15ac:absPath xmlns:x15ac="http://schemas.microsoft.com/office/spreadsheetml/2010/11/ac" url="C:\Users\Alex\Documents\website-production-newer\downloads\"/>
    </mc:Choice>
  </mc:AlternateContent>
  <xr:revisionPtr revIDLastSave="0" documentId="13_ncr:1_{7186ACE7-A488-404D-8653-49F803C45EFB}" xr6:coauthVersionLast="45" xr6:coauthVersionMax="45" xr10:uidLastSave="{00000000-0000-0000-0000-000000000000}"/>
  <workbookProtection workbookAlgorithmName="SHA-512" workbookHashValue="GBk6s0D53/PnzmB7Hb/yf6tXGJQ4bGvqo4qmaIVdLyEdT91a1ucM+C3OE/R/HuxKHgWkS7388n7N2vF3vaT0sA==" workbookSaltValue="LWO+7zanqWC5cHoJ9c57YQ==" workbookSpinCount="100000" lockStructure="1"/>
  <bookViews>
    <workbookView xWindow="3855" yWindow="-15000" windowWidth="19875" windowHeight="11175" activeTab="1" xr2:uid="{00000000-000D-0000-FFFF-FFFF00000000}"/>
  </bookViews>
  <sheets>
    <sheet name="Introduction" sheetId="6" r:id="rId1"/>
    <sheet name="main" sheetId="3" r:id="rId2"/>
    <sheet name="Help" sheetId="5" r:id="rId3"/>
    <sheet name="names" sheetId="7" state="hidden" r:id="rId4"/>
    <sheet name="Sheet1" sheetId="4" state="hidden" r:id="rId5"/>
  </sheets>
  <definedNames>
    <definedName name="barrier_prem">main!$BH$4</definedName>
    <definedName name="Call">main!$C$39:$V$44</definedName>
    <definedName name="cdi">main!$BR$15</definedName>
    <definedName name="cdo">main!$BR$13</definedName>
    <definedName name="cui">main!$BR$11</definedName>
    <definedName name="cuo">main!$BR$9</definedName>
    <definedName name="disclaimer">#REF!</definedName>
    <definedName name="epsilon">main!$F$1</definedName>
    <definedName name="error_message">main!$D$36:$N$36</definedName>
    <definedName name="greek">main!$D$75</definedName>
    <definedName name="H">main!$E$4</definedName>
    <definedName name="H_2">main!$E$15</definedName>
    <definedName name="inc">main!$R$28</definedName>
    <definedName name="inf">names!$B$1</definedName>
    <definedName name="inputs">main!$C$39:$H$42,main!$O$39:$O$42,main!$O$44,main!$S$39:$S$42</definedName>
    <definedName name="K">main!$D$4</definedName>
    <definedName name="K_2">main!$D$15</definedName>
    <definedName name="load_set_number">main!$E$75</definedName>
    <definedName name="N_d1">main!$M$4</definedName>
    <definedName name="N_d2">main!$O$4</definedName>
    <definedName name="N_minus_d1">main!$P$4</definedName>
    <definedName name="N_minus_d2">main!$Q$4</definedName>
    <definedName name="pdi">main!$BR$16</definedName>
    <definedName name="pdo">main!$BR$14</definedName>
    <definedName name="_xlnm.Print_Area" localSheetId="1">main!$A$1:$R$74</definedName>
    <definedName name="pui">main!$BR$12</definedName>
    <definedName name="puo">main!$BR$10</definedName>
    <definedName name="q">main!$J$4</definedName>
    <definedName name="rebate">main!$F$4</definedName>
    <definedName name="rebate_2">main!$F$15</definedName>
    <definedName name="show_1">main!$P$39</definedName>
    <definedName name="show_2">main!$P$40</definedName>
    <definedName name="show_3">main!$P$41</definedName>
    <definedName name="show_4">main!$P$42</definedName>
    <definedName name="show_5">main!$P$44</definedName>
    <definedName name="spot_array">main!$F$85:$F$129</definedName>
    <definedName name="test_protected">main!$Q$47</definedName>
    <definedName name="top_analysis">main!$A$33</definedName>
    <definedName name="top_help">Help!$B$1</definedName>
    <definedName name="type">main!$D$25</definedName>
    <definedName name="vary">main!$C$75</definedName>
    <definedName name="x_scale_max">main!$F$129</definedName>
    <definedName name="x_scale_min">main!$F$85</definedName>
    <definedName name="y_1">Sheet1!$B$3:$B$47</definedName>
    <definedName name="y_2">Sheet1!$E$3:$E$47</definedName>
    <definedName name="y_3">Sheet1!$H$3:$H$47</definedName>
    <definedName name="y_4">Sheet1!$K$3:$K$47</definedName>
    <definedName name="y_5">Sheet1!$N$3:$N$47</definedName>
    <definedName name="y_values">main!$G$85:$J$129</definedName>
  </definedNames>
  <calcPr calcId="181029" calcOnSave="0"/>
</workbook>
</file>

<file path=xl/calcChain.xml><?xml version="1.0" encoding="utf-8"?>
<calcChain xmlns="http://schemas.openxmlformats.org/spreadsheetml/2006/main">
  <c r="A4" i="3" l="1"/>
  <c r="L107" i="3" l="1"/>
  <c r="T26" i="3" s="1"/>
  <c r="F107" i="3" l="1"/>
  <c r="E4" i="3"/>
  <c r="E9" i="3" s="1"/>
  <c r="E80" i="5"/>
  <c r="R78" i="3"/>
  <c r="X20" i="3"/>
  <c r="T42" i="3" s="1"/>
  <c r="U42" i="3" s="1"/>
  <c r="T39" i="3"/>
  <c r="U39" i="3" s="1"/>
  <c r="U43" i="3"/>
  <c r="G83" i="3" a="1"/>
  <c r="J83" i="3" s="1"/>
  <c r="I39" i="3"/>
  <c r="J39" i="3"/>
  <c r="K39" i="3"/>
  <c r="L39" i="3"/>
  <c r="M39" i="3"/>
  <c r="N39" i="3"/>
  <c r="O39" i="3"/>
  <c r="I40" i="3"/>
  <c r="J40" i="3"/>
  <c r="K40" i="3"/>
  <c r="L40" i="3"/>
  <c r="M40" i="3"/>
  <c r="N40" i="3"/>
  <c r="O40" i="3"/>
  <c r="B40" i="3" s="1"/>
  <c r="D41" i="3"/>
  <c r="I41" i="3"/>
  <c r="J41" i="3"/>
  <c r="K41" i="3"/>
  <c r="L41" i="3"/>
  <c r="M41" i="3"/>
  <c r="N41" i="3"/>
  <c r="N42" i="3"/>
  <c r="O41" i="3"/>
  <c r="B41" i="3" s="1"/>
  <c r="I42" i="3"/>
  <c r="J42" i="3"/>
  <c r="K42" i="3"/>
  <c r="L42" i="3"/>
  <c r="M42" i="3"/>
  <c r="O42" i="3"/>
  <c r="O44" i="3"/>
  <c r="R27" i="3"/>
  <c r="B82" i="3"/>
  <c r="R26" i="3" s="1"/>
  <c r="K47" i="4"/>
  <c r="H47" i="4"/>
  <c r="E47" i="4"/>
  <c r="B47" i="4"/>
  <c r="K46" i="4"/>
  <c r="H46" i="4"/>
  <c r="E46" i="4"/>
  <c r="B46" i="4"/>
  <c r="K45" i="4"/>
  <c r="H45" i="4"/>
  <c r="E45" i="4"/>
  <c r="B45" i="4"/>
  <c r="K44" i="4"/>
  <c r="H44" i="4"/>
  <c r="E44" i="4"/>
  <c r="B44" i="4"/>
  <c r="K43" i="4"/>
  <c r="H43" i="4"/>
  <c r="E43" i="4"/>
  <c r="B43" i="4"/>
  <c r="K42" i="4"/>
  <c r="H42" i="4"/>
  <c r="E42" i="4"/>
  <c r="B42" i="4"/>
  <c r="K41" i="4"/>
  <c r="H41" i="4"/>
  <c r="E41" i="4"/>
  <c r="B41" i="4"/>
  <c r="K40" i="4"/>
  <c r="H40" i="4"/>
  <c r="E40" i="4"/>
  <c r="B40" i="4"/>
  <c r="K39" i="4"/>
  <c r="H39" i="4"/>
  <c r="E39" i="4"/>
  <c r="B39" i="4"/>
  <c r="K38" i="4"/>
  <c r="H38" i="4"/>
  <c r="E38" i="4"/>
  <c r="B38" i="4"/>
  <c r="K37" i="4"/>
  <c r="H37" i="4"/>
  <c r="E37" i="4"/>
  <c r="B37" i="4"/>
  <c r="K36" i="4"/>
  <c r="H36" i="4"/>
  <c r="E36" i="4"/>
  <c r="B36" i="4"/>
  <c r="K35" i="4"/>
  <c r="H35" i="4"/>
  <c r="E35" i="4"/>
  <c r="B35" i="4"/>
  <c r="K34" i="4"/>
  <c r="H34" i="4"/>
  <c r="E34" i="4"/>
  <c r="B34" i="4"/>
  <c r="K33" i="4"/>
  <c r="H33" i="4"/>
  <c r="E33" i="4"/>
  <c r="B33" i="4"/>
  <c r="K32" i="4"/>
  <c r="H32" i="4"/>
  <c r="E32" i="4"/>
  <c r="B32" i="4"/>
  <c r="K31" i="4"/>
  <c r="H31" i="4"/>
  <c r="E31" i="4"/>
  <c r="B31" i="4"/>
  <c r="K30" i="4"/>
  <c r="H30" i="4"/>
  <c r="E30" i="4"/>
  <c r="B30" i="4"/>
  <c r="K29" i="4"/>
  <c r="H29" i="4"/>
  <c r="E29" i="4"/>
  <c r="B29" i="4"/>
  <c r="K28" i="4"/>
  <c r="H28" i="4"/>
  <c r="E28" i="4"/>
  <c r="B28" i="4"/>
  <c r="K27" i="4"/>
  <c r="H27" i="4"/>
  <c r="E27" i="4"/>
  <c r="B27" i="4"/>
  <c r="K26" i="4"/>
  <c r="H26" i="4"/>
  <c r="E26" i="4"/>
  <c r="B26" i="4"/>
  <c r="K25" i="4"/>
  <c r="H25" i="4"/>
  <c r="E25" i="4"/>
  <c r="B25" i="4"/>
  <c r="K24" i="4"/>
  <c r="H24" i="4"/>
  <c r="E24" i="4"/>
  <c r="B24" i="4"/>
  <c r="K23" i="4"/>
  <c r="H23" i="4"/>
  <c r="E23" i="4"/>
  <c r="B23" i="4"/>
  <c r="K22" i="4"/>
  <c r="H22" i="4"/>
  <c r="E22" i="4"/>
  <c r="B22" i="4"/>
  <c r="K21" i="4"/>
  <c r="H21" i="4"/>
  <c r="E21" i="4"/>
  <c r="B21" i="4"/>
  <c r="K20" i="4"/>
  <c r="H20" i="4"/>
  <c r="E20" i="4"/>
  <c r="B20" i="4"/>
  <c r="K19" i="4"/>
  <c r="H19" i="4"/>
  <c r="E19" i="4"/>
  <c r="B19" i="4"/>
  <c r="K18" i="4"/>
  <c r="H18" i="4"/>
  <c r="E18" i="4"/>
  <c r="B18" i="4"/>
  <c r="K17" i="4"/>
  <c r="H17" i="4"/>
  <c r="E17" i="4"/>
  <c r="B17" i="4"/>
  <c r="K16" i="4"/>
  <c r="H16" i="4"/>
  <c r="E16" i="4"/>
  <c r="B16" i="4"/>
  <c r="K15" i="4"/>
  <c r="H15" i="4"/>
  <c r="E15" i="4"/>
  <c r="B15" i="4"/>
  <c r="K14" i="4"/>
  <c r="H14" i="4"/>
  <c r="E14" i="4"/>
  <c r="B14" i="4"/>
  <c r="K13" i="4"/>
  <c r="H13" i="4"/>
  <c r="E13" i="4"/>
  <c r="B13" i="4"/>
  <c r="K12" i="4"/>
  <c r="H12" i="4"/>
  <c r="E12" i="4"/>
  <c r="B12" i="4"/>
  <c r="K11" i="4"/>
  <c r="H11" i="4"/>
  <c r="E11" i="4"/>
  <c r="B11" i="4"/>
  <c r="K10" i="4"/>
  <c r="H10" i="4"/>
  <c r="E10" i="4"/>
  <c r="B10" i="4"/>
  <c r="K9" i="4"/>
  <c r="H9" i="4"/>
  <c r="E9" i="4"/>
  <c r="B9" i="4"/>
  <c r="K8" i="4"/>
  <c r="H8" i="4"/>
  <c r="E8" i="4"/>
  <c r="B8" i="4"/>
  <c r="K7" i="4"/>
  <c r="H7" i="4"/>
  <c r="E7" i="4"/>
  <c r="B7" i="4"/>
  <c r="K6" i="4"/>
  <c r="H6" i="4"/>
  <c r="E6" i="4"/>
  <c r="B6" i="4"/>
  <c r="K5" i="4"/>
  <c r="H5" i="4"/>
  <c r="E5" i="4"/>
  <c r="B5" i="4"/>
  <c r="K4" i="4"/>
  <c r="H4" i="4"/>
  <c r="E4" i="4"/>
  <c r="B4" i="4"/>
  <c r="K3" i="4"/>
  <c r="H3" i="4"/>
  <c r="E3" i="4"/>
  <c r="B3" i="4"/>
  <c r="C4" i="3"/>
  <c r="J4" i="3"/>
  <c r="I4" i="3"/>
  <c r="H4" i="3"/>
  <c r="H9" i="3" s="1"/>
  <c r="I9" i="3"/>
  <c r="BP3" i="3"/>
  <c r="BQ3" i="3"/>
  <c r="BP4" i="3"/>
  <c r="BP5" i="3"/>
  <c r="BP6" i="3"/>
  <c r="BP7" i="3"/>
  <c r="BP8" i="3"/>
  <c r="BP9" i="3"/>
  <c r="S26" i="3"/>
  <c r="S25" i="3"/>
  <c r="Q133" i="3"/>
  <c r="P133" i="3" s="1"/>
  <c r="Q134" i="3"/>
  <c r="Q135" i="3" s="1"/>
  <c r="A39" i="3"/>
  <c r="B39" i="3"/>
  <c r="B15" i="3"/>
  <c r="D25" i="3" s="1"/>
  <c r="BP10" i="3"/>
  <c r="BP11" i="3"/>
  <c r="BP12" i="3"/>
  <c r="BP13" i="3"/>
  <c r="BP14" i="3"/>
  <c r="E15" i="3"/>
  <c r="E21" i="3" s="1"/>
  <c r="C15" i="3"/>
  <c r="C17" i="3" s="1"/>
  <c r="D15" i="3"/>
  <c r="D16" i="3" s="1"/>
  <c r="G15" i="3"/>
  <c r="H15" i="3"/>
  <c r="F15" i="3"/>
  <c r="F20" i="3" s="1"/>
  <c r="BP15" i="3"/>
  <c r="BP16" i="3"/>
  <c r="A40" i="3"/>
  <c r="A41" i="3"/>
  <c r="A42" i="3"/>
  <c r="B42" i="3"/>
  <c r="W22" i="3"/>
  <c r="P132" i="3"/>
  <c r="I27" i="3"/>
  <c r="I28" i="3" s="1"/>
  <c r="I29" i="3" s="1"/>
  <c r="B44" i="3"/>
  <c r="H51" i="3"/>
  <c r="P134" i="3"/>
  <c r="H83" i="3" l="1"/>
  <c r="R25" i="3"/>
  <c r="R28" i="3" s="1"/>
  <c r="F108" i="3" s="1"/>
  <c r="I83" i="3"/>
  <c r="G83" i="3"/>
  <c r="F17" i="3"/>
  <c r="Q136" i="3"/>
  <c r="Q137" i="3" s="1"/>
  <c r="P135" i="3"/>
  <c r="M44" i="3"/>
  <c r="I44" i="3"/>
  <c r="F4" i="3"/>
  <c r="F6" i="3" s="1"/>
  <c r="G4" i="3"/>
  <c r="G11" i="3" s="1"/>
  <c r="G12" i="3" s="1"/>
  <c r="F19" i="3"/>
  <c r="B4" i="3"/>
  <c r="D4" i="3"/>
  <c r="D9" i="3" s="1"/>
  <c r="F16" i="3"/>
  <c r="BL15" i="3"/>
  <c r="BI19" i="3" s="1"/>
  <c r="E11" i="3"/>
  <c r="E12" i="3" s="1"/>
  <c r="D21" i="3"/>
  <c r="D22" i="3"/>
  <c r="J44" i="3"/>
  <c r="E6" i="3"/>
  <c r="E8" i="3"/>
  <c r="N44" i="3"/>
  <c r="K44" i="3"/>
  <c r="E20" i="3"/>
  <c r="G22" i="3"/>
  <c r="G21" i="3"/>
  <c r="G16" i="3"/>
  <c r="G17" i="3"/>
  <c r="G20" i="3"/>
  <c r="G19" i="3"/>
  <c r="C6" i="3"/>
  <c r="W21" i="3"/>
  <c r="C12" i="3"/>
  <c r="C8" i="3"/>
  <c r="C11" i="3"/>
  <c r="C9" i="3"/>
  <c r="H22" i="3"/>
  <c r="H20" i="3"/>
  <c r="H16" i="3"/>
  <c r="H17" i="3"/>
  <c r="H21" i="3"/>
  <c r="AE4" i="3"/>
  <c r="AF4" i="3" s="1"/>
  <c r="I6" i="3"/>
  <c r="I15" i="3"/>
  <c r="K15" i="3" s="1"/>
  <c r="I8" i="3"/>
  <c r="I11" i="3"/>
  <c r="H19" i="3"/>
  <c r="C19" i="3"/>
  <c r="C21" i="3"/>
  <c r="C16" i="3"/>
  <c r="C20" i="3"/>
  <c r="C22" i="3"/>
  <c r="F22" i="3"/>
  <c r="F21" i="3"/>
  <c r="D19" i="3"/>
  <c r="D17" i="3"/>
  <c r="D20" i="3"/>
  <c r="J8" i="3"/>
  <c r="J15" i="3"/>
  <c r="J6" i="3"/>
  <c r="J9" i="3"/>
  <c r="J11" i="3"/>
  <c r="J12" i="3" s="1"/>
  <c r="E19" i="3"/>
  <c r="E22" i="3"/>
  <c r="E17" i="3"/>
  <c r="E16" i="3"/>
  <c r="H8" i="3"/>
  <c r="H11" i="3"/>
  <c r="H12" i="3" s="1"/>
  <c r="H6" i="3"/>
  <c r="M136" i="3"/>
  <c r="M135" i="3"/>
  <c r="L44" i="3"/>
  <c r="X21" i="3"/>
  <c r="BQ4" i="3"/>
  <c r="BF1" i="3" l="1"/>
  <c r="BF4" i="3" s="1"/>
  <c r="N40" i="4"/>
  <c r="N12" i="4"/>
  <c r="N16" i="4"/>
  <c r="N30" i="4"/>
  <c r="N27" i="4"/>
  <c r="N47" i="4"/>
  <c r="N34" i="4"/>
  <c r="N35" i="4"/>
  <c r="N25" i="4"/>
  <c r="N20" i="4"/>
  <c r="N44" i="4"/>
  <c r="N32" i="4"/>
  <c r="N45" i="4"/>
  <c r="N31" i="4"/>
  <c r="N38" i="4"/>
  <c r="N43" i="4"/>
  <c r="N5" i="4"/>
  <c r="N36" i="4"/>
  <c r="N23" i="4"/>
  <c r="N7" i="4"/>
  <c r="N39" i="4"/>
  <c r="N3" i="4"/>
  <c r="N8" i="4"/>
  <c r="N6" i="4"/>
  <c r="N46" i="4"/>
  <c r="N18" i="4"/>
  <c r="N13" i="4"/>
  <c r="N4" i="4"/>
  <c r="N33" i="4"/>
  <c r="N37" i="4"/>
  <c r="N19" i="4"/>
  <c r="N24" i="4"/>
  <c r="N14" i="4"/>
  <c r="N17" i="4"/>
  <c r="N26" i="4"/>
  <c r="N21" i="4"/>
  <c r="N29" i="4"/>
  <c r="N11" i="4"/>
  <c r="N22" i="4"/>
  <c r="N9" i="4"/>
  <c r="N10" i="4"/>
  <c r="N42" i="4"/>
  <c r="N15" i="4"/>
  <c r="N28" i="4"/>
  <c r="N41" i="4"/>
  <c r="F106" i="3"/>
  <c r="P136" i="3"/>
  <c r="G9" i="3"/>
  <c r="K9" i="3" s="1"/>
  <c r="F11" i="3"/>
  <c r="F12" i="3" s="1"/>
  <c r="D6" i="3"/>
  <c r="D8" i="3"/>
  <c r="F9" i="3"/>
  <c r="F8" i="3"/>
  <c r="G8" i="3"/>
  <c r="K4" i="3"/>
  <c r="P4" i="3" s="1"/>
  <c r="AD4" i="3" s="1"/>
  <c r="AK4" i="3"/>
  <c r="G6" i="3"/>
  <c r="D11" i="3"/>
  <c r="D12" i="3" s="1"/>
  <c r="BI16" i="3"/>
  <c r="BM15" i="3"/>
  <c r="AL15" i="3" s="1"/>
  <c r="AL19" i="3" s="1"/>
  <c r="BI21" i="3"/>
  <c r="BF15" i="3"/>
  <c r="BF17" i="3" s="1"/>
  <c r="BF21" i="3" s="1"/>
  <c r="BI22" i="3"/>
  <c r="BI15" i="3"/>
  <c r="BN15" i="3"/>
  <c r="AM15" i="3" s="1"/>
  <c r="AM22" i="3" s="1"/>
  <c r="BI20" i="3"/>
  <c r="BG15" i="3"/>
  <c r="BG17" i="3" s="1"/>
  <c r="BI17" i="3"/>
  <c r="AI4" i="3"/>
  <c r="AG4" i="3"/>
  <c r="I22" i="3"/>
  <c r="I17" i="3"/>
  <c r="I16" i="3"/>
  <c r="I20" i="3"/>
  <c r="AE15" i="3"/>
  <c r="I19" i="3"/>
  <c r="I21" i="3"/>
  <c r="AE11" i="3"/>
  <c r="AF11" i="3" s="1"/>
  <c r="AK11" i="3" s="1"/>
  <c r="I12" i="3"/>
  <c r="AE12" i="3" s="1"/>
  <c r="AF12" i="3" s="1"/>
  <c r="AK12" i="3" s="1"/>
  <c r="AH4" i="3"/>
  <c r="AJ4" i="3"/>
  <c r="M15" i="3"/>
  <c r="T15" i="3" s="1"/>
  <c r="K25" i="3" s="1"/>
  <c r="P15" i="3"/>
  <c r="AD15" i="3" s="1"/>
  <c r="N15" i="3"/>
  <c r="L15" i="3"/>
  <c r="X22" i="3"/>
  <c r="BQ5" i="3"/>
  <c r="AE6" i="3"/>
  <c r="AF6" i="3" s="1"/>
  <c r="F109" i="3"/>
  <c r="J21" i="3"/>
  <c r="K21" i="3" s="1"/>
  <c r="J20" i="3"/>
  <c r="K20" i="3" s="1"/>
  <c r="J22" i="3"/>
  <c r="J19" i="3"/>
  <c r="J16" i="3"/>
  <c r="J17" i="3"/>
  <c r="P137" i="3"/>
  <c r="Q138" i="3"/>
  <c r="BH6" i="3" l="1"/>
  <c r="BG2" i="3"/>
  <c r="AL4" i="3" s="1"/>
  <c r="AV4" i="3" s="1"/>
  <c r="BG4" i="3"/>
  <c r="BG6" i="3" s="1"/>
  <c r="BH2" i="3"/>
  <c r="AM4" i="3" s="1"/>
  <c r="AN4" i="3" s="1"/>
  <c r="BH12" i="3"/>
  <c r="BH11" i="3"/>
  <c r="BH4" i="3"/>
  <c r="K16" i="3"/>
  <c r="F105" i="3"/>
  <c r="AK6" i="3"/>
  <c r="K8" i="3"/>
  <c r="N8" i="3" s="1"/>
  <c r="K6" i="3"/>
  <c r="P6" i="3" s="1"/>
  <c r="AD6" i="3" s="1"/>
  <c r="AD7" i="3" s="1"/>
  <c r="M4" i="3"/>
  <c r="T4" i="3" s="1"/>
  <c r="K11" i="3"/>
  <c r="N11" i="3" s="1"/>
  <c r="N4" i="3"/>
  <c r="Y4" i="3" s="1"/>
  <c r="Z4" i="3" s="1"/>
  <c r="BG19" i="3"/>
  <c r="L4" i="3"/>
  <c r="Q4" i="3" s="1"/>
  <c r="BF19" i="3"/>
  <c r="BJ22" i="3"/>
  <c r="BJ17" i="3"/>
  <c r="AL16" i="3"/>
  <c r="AL20" i="3" s="1"/>
  <c r="AJ6" i="3"/>
  <c r="AL17" i="3"/>
  <c r="AL21" i="3" s="1"/>
  <c r="BF22" i="3"/>
  <c r="BF16" i="3"/>
  <c r="BF20" i="3" s="1"/>
  <c r="AL22" i="3"/>
  <c r="BJ21" i="3"/>
  <c r="AM19" i="3"/>
  <c r="BJ19" i="3"/>
  <c r="AM16" i="3"/>
  <c r="AM20" i="3" s="1"/>
  <c r="AM17" i="3"/>
  <c r="AM21" i="3" s="1"/>
  <c r="BJ20" i="3"/>
  <c r="BG16" i="3"/>
  <c r="BG20" i="3" s="1"/>
  <c r="BG22" i="3"/>
  <c r="AI11" i="3"/>
  <c r="AH6" i="3"/>
  <c r="AJ11" i="3"/>
  <c r="AH11" i="3"/>
  <c r="AG11" i="3"/>
  <c r="N9" i="3"/>
  <c r="L9" i="3"/>
  <c r="M9" i="3"/>
  <c r="AC9" i="3" s="1"/>
  <c r="P9" i="3"/>
  <c r="AD9" i="3" s="1"/>
  <c r="F110" i="3"/>
  <c r="K19" i="3"/>
  <c r="L20" i="3"/>
  <c r="M20" i="3"/>
  <c r="AC20" i="3" s="1"/>
  <c r="N20" i="3"/>
  <c r="P20" i="3"/>
  <c r="AD20" i="3" s="1"/>
  <c r="AB20" i="3" s="1"/>
  <c r="X15" i="3"/>
  <c r="L25" i="3" s="1"/>
  <c r="Y15" i="3"/>
  <c r="Z15" i="3" s="1"/>
  <c r="N25" i="3" s="1"/>
  <c r="K12" i="3"/>
  <c r="AI12" i="3"/>
  <c r="AE19" i="3"/>
  <c r="AC15" i="3"/>
  <c r="AE17" i="3"/>
  <c r="K17" i="3"/>
  <c r="BF6" i="3"/>
  <c r="P16" i="3"/>
  <c r="AD16" i="3" s="1"/>
  <c r="M16" i="3"/>
  <c r="N16" i="3"/>
  <c r="L16" i="3"/>
  <c r="Q139" i="3"/>
  <c r="P138" i="3"/>
  <c r="AG6" i="3"/>
  <c r="U15" i="3"/>
  <c r="K22" i="3"/>
  <c r="AJ12" i="3"/>
  <c r="AH12" i="3"/>
  <c r="AE16" i="3"/>
  <c r="AE22" i="3"/>
  <c r="BG21" i="3"/>
  <c r="M21" i="3"/>
  <c r="AC21" i="3" s="1"/>
  <c r="L21" i="3"/>
  <c r="P21" i="3"/>
  <c r="AD21" i="3" s="1"/>
  <c r="AB21" i="3" s="1"/>
  <c r="N21" i="3"/>
  <c r="AG12" i="3"/>
  <c r="AF15" i="3"/>
  <c r="AK15" i="3" s="1"/>
  <c r="AI15" i="3"/>
  <c r="AT15" i="3" s="1"/>
  <c r="AH15" i="3"/>
  <c r="AG15" i="3"/>
  <c r="AN15" i="3" s="1"/>
  <c r="AJ15" i="3"/>
  <c r="AV15" i="3" s="1"/>
  <c r="AI6" i="3"/>
  <c r="BQ6" i="3"/>
  <c r="X23" i="3"/>
  <c r="O15" i="3"/>
  <c r="AA15" i="3" s="1"/>
  <c r="O25" i="3" s="1"/>
  <c r="Q15" i="3"/>
  <c r="W15" i="3" s="1"/>
  <c r="AE21" i="3"/>
  <c r="AE20" i="3"/>
  <c r="AT4" i="3" l="1"/>
  <c r="AU4" i="3" s="1"/>
  <c r="AL6" i="3"/>
  <c r="AV6" i="3" s="1"/>
  <c r="BE4" i="3"/>
  <c r="BR9" i="3" s="1"/>
  <c r="BH7" i="3"/>
  <c r="AM6" i="3"/>
  <c r="AN6" i="3" s="1"/>
  <c r="AQ4" i="3"/>
  <c r="AR4" i="3" s="1"/>
  <c r="BH13" i="3"/>
  <c r="W27" i="3"/>
  <c r="W28" i="3"/>
  <c r="W25" i="3"/>
  <c r="W29" i="3"/>
  <c r="W31" i="3"/>
  <c r="W32" i="3"/>
  <c r="W30" i="3"/>
  <c r="W26" i="3"/>
  <c r="M8" i="3"/>
  <c r="AC8" i="3" s="1"/>
  <c r="F104" i="3"/>
  <c r="L11" i="3"/>
  <c r="O11" i="3" s="1"/>
  <c r="P8" i="3"/>
  <c r="AD8" i="3" s="1"/>
  <c r="AD11" i="3" s="1"/>
  <c r="W24" i="3" s="1"/>
  <c r="L8" i="3"/>
  <c r="Q8" i="3" s="1"/>
  <c r="AC4" i="3"/>
  <c r="U4" i="3"/>
  <c r="L6" i="3"/>
  <c r="O6" i="3" s="1"/>
  <c r="P11" i="3"/>
  <c r="M6" i="3"/>
  <c r="AC6" i="3" s="1"/>
  <c r="AC7" i="3" s="1"/>
  <c r="N6" i="3"/>
  <c r="M11" i="3"/>
  <c r="X4" i="3"/>
  <c r="O4" i="3"/>
  <c r="AA4" i="3" s="1"/>
  <c r="AA21" i="3"/>
  <c r="AO4" i="3"/>
  <c r="AP4" i="3"/>
  <c r="AF20" i="3"/>
  <c r="AK20" i="3" s="1"/>
  <c r="BE20" i="3" s="1"/>
  <c r="BX9" i="3" s="1"/>
  <c r="AI20" i="3"/>
  <c r="AT20" i="3" s="1"/>
  <c r="AJ20" i="3"/>
  <c r="AV20" i="3" s="1"/>
  <c r="AH20" i="3"/>
  <c r="AQ20" i="3" s="1"/>
  <c r="AG20" i="3"/>
  <c r="AN20" i="3" s="1"/>
  <c r="AF21" i="3"/>
  <c r="AK21" i="3" s="1"/>
  <c r="AJ21" i="3"/>
  <c r="AV21" i="3" s="1"/>
  <c r="AH21" i="3"/>
  <c r="AI21" i="3"/>
  <c r="AT21" i="3" s="1"/>
  <c r="AG21" i="3"/>
  <c r="AN21" i="3" s="1"/>
  <c r="T40" i="3"/>
  <c r="U40" i="3" s="1"/>
  <c r="BQ7" i="3"/>
  <c r="X24" i="3"/>
  <c r="AO15" i="3"/>
  <c r="AP15" i="3"/>
  <c r="AB4" i="3"/>
  <c r="S4" i="3"/>
  <c r="BG11" i="3"/>
  <c r="AA20" i="3"/>
  <c r="L12" i="3"/>
  <c r="M12" i="3"/>
  <c r="P12" i="3"/>
  <c r="N12" i="3"/>
  <c r="Q9" i="3"/>
  <c r="O9" i="3"/>
  <c r="AL11" i="3"/>
  <c r="AQ15" i="3"/>
  <c r="Q21" i="3"/>
  <c r="S21" i="3" s="1"/>
  <c r="O21" i="3"/>
  <c r="R21" i="3" s="1"/>
  <c r="AF22" i="3"/>
  <c r="AK22" i="3" s="1"/>
  <c r="BE22" i="3" s="1"/>
  <c r="BZ9" i="3" s="1"/>
  <c r="AI22" i="3"/>
  <c r="AT22" i="3" s="1"/>
  <c r="AH22" i="3"/>
  <c r="AG22" i="3"/>
  <c r="AN22" i="3" s="1"/>
  <c r="AJ22" i="3"/>
  <c r="AV22" i="3" s="1"/>
  <c r="AC16" i="3"/>
  <c r="M22" i="3"/>
  <c r="L22" i="3"/>
  <c r="N22" i="3"/>
  <c r="P22" i="3"/>
  <c r="AD22" i="3" s="1"/>
  <c r="AB22" i="3" s="1"/>
  <c r="P139" i="3"/>
  <c r="Q140" i="3"/>
  <c r="O20" i="3"/>
  <c r="R20" i="3" s="1"/>
  <c r="Q20" i="3"/>
  <c r="S20" i="3" s="1"/>
  <c r="F111" i="3"/>
  <c r="AX4" i="3"/>
  <c r="AM11" i="3"/>
  <c r="S15" i="3"/>
  <c r="AB15" i="3"/>
  <c r="AX15" i="3"/>
  <c r="AU15" i="3"/>
  <c r="AF16" i="3"/>
  <c r="AK16" i="3" s="1"/>
  <c r="BE16" i="3" s="1"/>
  <c r="CA9" i="3" s="1"/>
  <c r="AJ16" i="3"/>
  <c r="AV16" i="3" s="1"/>
  <c r="AH16" i="3"/>
  <c r="AI16" i="3"/>
  <c r="AT16" i="3" s="1"/>
  <c r="AG16" i="3"/>
  <c r="AN16" i="3" s="1"/>
  <c r="Q16" i="3"/>
  <c r="S16" i="3" s="1"/>
  <c r="O16" i="3"/>
  <c r="R16" i="3" s="1"/>
  <c r="BF11" i="3"/>
  <c r="AF19" i="3"/>
  <c r="AK19" i="3" s="1"/>
  <c r="AG19" i="3"/>
  <c r="AN19" i="3" s="1"/>
  <c r="AJ19" i="3"/>
  <c r="AV19" i="3" s="1"/>
  <c r="AH19" i="3"/>
  <c r="AI19" i="3"/>
  <c r="AT19" i="3" s="1"/>
  <c r="N19" i="3"/>
  <c r="P19" i="3"/>
  <c r="M19" i="3"/>
  <c r="L19" i="3"/>
  <c r="AW4" i="3"/>
  <c r="AY4" i="3"/>
  <c r="BD4" i="3" s="1"/>
  <c r="AS4" i="3"/>
  <c r="AY15" i="3"/>
  <c r="BD15" i="3" s="1"/>
  <c r="AW15" i="3"/>
  <c r="BE15" i="3"/>
  <c r="BV9" i="3" s="1"/>
  <c r="AD18" i="3"/>
  <c r="W4" i="3"/>
  <c r="M17" i="3"/>
  <c r="P17" i="3"/>
  <c r="AD17" i="3" s="1"/>
  <c r="AD19" i="3" s="1"/>
  <c r="N17" i="3"/>
  <c r="L17" i="3"/>
  <c r="AF17" i="3"/>
  <c r="AK17" i="3" s="1"/>
  <c r="AI17" i="3"/>
  <c r="AT17" i="3" s="1"/>
  <c r="AG17" i="3"/>
  <c r="AN17" i="3" s="1"/>
  <c r="AH17" i="3"/>
  <c r="AJ17" i="3"/>
  <c r="AV17" i="3" s="1"/>
  <c r="V15" i="3"/>
  <c r="M25" i="3" s="1"/>
  <c r="R15" i="3"/>
  <c r="J25" i="3" s="1"/>
  <c r="AQ6" i="3" l="1"/>
  <c r="AT6" i="3"/>
  <c r="BE6" i="3"/>
  <c r="BS9" i="3" s="1"/>
  <c r="W20" i="3"/>
  <c r="Q11" i="3"/>
  <c r="S11" i="3" s="1"/>
  <c r="F103" i="3"/>
  <c r="Q6" i="3"/>
  <c r="S6" i="3" s="1"/>
  <c r="S7" i="3" s="1"/>
  <c r="O8" i="3"/>
  <c r="R11" i="3"/>
  <c r="AC11" i="3"/>
  <c r="W23" i="3" s="1"/>
  <c r="R6" i="3"/>
  <c r="V4" i="3"/>
  <c r="R4" i="3"/>
  <c r="W19" i="3" s="1"/>
  <c r="BB15" i="3"/>
  <c r="BV15" i="3" s="1"/>
  <c r="BA4" i="3"/>
  <c r="BC4" i="3"/>
  <c r="AZ4" i="3"/>
  <c r="BR11" i="3" s="1"/>
  <c r="AX17" i="3"/>
  <c r="AU17" i="3"/>
  <c r="AQ19" i="3"/>
  <c r="AX16" i="3"/>
  <c r="AU16" i="3"/>
  <c r="Q141" i="3"/>
  <c r="P140" i="3"/>
  <c r="AU6" i="3"/>
  <c r="AX6" i="3"/>
  <c r="O12" i="3"/>
  <c r="R12" i="3" s="1"/>
  <c r="Q12" i="3"/>
  <c r="S12" i="3" s="1"/>
  <c r="AW17" i="3"/>
  <c r="AY17" i="3"/>
  <c r="BD17" i="3" s="1"/>
  <c r="BE17" i="3"/>
  <c r="CB9" i="3" s="1"/>
  <c r="BC15" i="3"/>
  <c r="BE19" i="3"/>
  <c r="BW9" i="3" s="1"/>
  <c r="BF12" i="3"/>
  <c r="AQ16" i="3"/>
  <c r="BB4" i="3"/>
  <c r="BR15" i="3" s="1"/>
  <c r="AC18" i="3"/>
  <c r="AQ22" i="3"/>
  <c r="AQ21" i="3"/>
  <c r="AO21" i="3"/>
  <c r="AP21" i="3"/>
  <c r="AW6" i="3"/>
  <c r="AY6" i="3"/>
  <c r="BD6" i="3" s="1"/>
  <c r="AZ15" i="3"/>
  <c r="AW21" i="3"/>
  <c r="AY21" i="3"/>
  <c r="BD21" i="3" s="1"/>
  <c r="AQ17" i="3"/>
  <c r="AC17" i="3"/>
  <c r="AC19" i="3" s="1"/>
  <c r="AW19" i="3"/>
  <c r="AY19" i="3"/>
  <c r="BD19" i="3" s="1"/>
  <c r="AO16" i="3"/>
  <c r="AP16" i="3"/>
  <c r="AW16" i="3"/>
  <c r="AY16" i="3"/>
  <c r="BD16" i="3" s="1"/>
  <c r="AR6" i="3"/>
  <c r="AS6" i="3"/>
  <c r="AO6" i="3"/>
  <c r="AP6" i="3"/>
  <c r="O22" i="3"/>
  <c r="R22" i="3" s="1"/>
  <c r="Q22" i="3"/>
  <c r="S22" i="3" s="1"/>
  <c r="AW22" i="3"/>
  <c r="AY22" i="3"/>
  <c r="BD22" i="3" s="1"/>
  <c r="AX22" i="3"/>
  <c r="AU22" i="3"/>
  <c r="AV11" i="3"/>
  <c r="AL12" i="3"/>
  <c r="AT11" i="3"/>
  <c r="BE11" i="3"/>
  <c r="BT9" i="3" s="1"/>
  <c r="BG12" i="3"/>
  <c r="BQ8" i="3"/>
  <c r="X25" i="3"/>
  <c r="AX21" i="3"/>
  <c r="AU21" i="3"/>
  <c r="AY20" i="3"/>
  <c r="BD20" i="3" s="1"/>
  <c r="AW20" i="3"/>
  <c r="AO17" i="3"/>
  <c r="AP17" i="3"/>
  <c r="Q17" i="3"/>
  <c r="S17" i="3" s="1"/>
  <c r="O17" i="3"/>
  <c r="R17" i="3" s="1"/>
  <c r="Q19" i="3"/>
  <c r="S19" i="3" s="1"/>
  <c r="O19" i="3"/>
  <c r="R19" i="3" s="1"/>
  <c r="AU19" i="3"/>
  <c r="AX19" i="3"/>
  <c r="AP19" i="3"/>
  <c r="AO19" i="3"/>
  <c r="AQ11" i="3"/>
  <c r="AM12" i="3"/>
  <c r="AN11" i="3"/>
  <c r="F112" i="3"/>
  <c r="AC22" i="3"/>
  <c r="AA22" i="3" s="1"/>
  <c r="AO22" i="3"/>
  <c r="AP22" i="3"/>
  <c r="AS15" i="3"/>
  <c r="AR15" i="3"/>
  <c r="AR20" i="3"/>
  <c r="AS20" i="3"/>
  <c r="AP20" i="3"/>
  <c r="AO20" i="3"/>
  <c r="BE21" i="3"/>
  <c r="BY9" i="3" s="1"/>
  <c r="AU20" i="3"/>
  <c r="AX20" i="3"/>
  <c r="W17" i="3" l="1"/>
  <c r="F84" i="3" s="1"/>
  <c r="F102" i="3"/>
  <c r="R7" i="3"/>
  <c r="BC20" i="3"/>
  <c r="BB17" i="3"/>
  <c r="CB15" i="3" s="1"/>
  <c r="BB22" i="3"/>
  <c r="BZ15" i="3" s="1"/>
  <c r="BR10" i="3"/>
  <c r="BR12" i="3"/>
  <c r="BR14" i="3"/>
  <c r="AZ20" i="3"/>
  <c r="BR13" i="3"/>
  <c r="AZ22" i="3"/>
  <c r="BR16" i="3"/>
  <c r="BC21" i="3"/>
  <c r="BB20" i="3"/>
  <c r="BX15" i="3" s="1"/>
  <c r="AZ19" i="3"/>
  <c r="BW11" i="3" s="1"/>
  <c r="BB21" i="3"/>
  <c r="BY15" i="3" s="1"/>
  <c r="BX11" i="3"/>
  <c r="BQ9" i="3"/>
  <c r="X26" i="3"/>
  <c r="T41" i="3"/>
  <c r="U41" i="3" s="1"/>
  <c r="U37" i="3" s="1"/>
  <c r="D36" i="3" s="1"/>
  <c r="AR21" i="3"/>
  <c r="AS21" i="3"/>
  <c r="BA15" i="3"/>
  <c r="BV12" i="3" s="1"/>
  <c r="AO11" i="3"/>
  <c r="AP11" i="3"/>
  <c r="AS11" i="3"/>
  <c r="AR11" i="3"/>
  <c r="BB19" i="3"/>
  <c r="BW15" i="3" s="1"/>
  <c r="AU11" i="3"/>
  <c r="AX11" i="3"/>
  <c r="BA6" i="3"/>
  <c r="AZ16" i="3"/>
  <c r="BC6" i="3"/>
  <c r="AS22" i="3"/>
  <c r="AR22" i="3"/>
  <c r="BC17" i="3"/>
  <c r="P141" i="3"/>
  <c r="Q142" i="3"/>
  <c r="AS19" i="3"/>
  <c r="AR19" i="3"/>
  <c r="AQ12" i="3"/>
  <c r="AN12" i="3"/>
  <c r="AT12" i="3"/>
  <c r="AV12" i="3"/>
  <c r="BE12" i="3"/>
  <c r="BU9" i="3" s="1"/>
  <c r="BA20" i="3"/>
  <c r="F113" i="3"/>
  <c r="AZ17" i="3"/>
  <c r="AY11" i="3"/>
  <c r="BD11" i="3" s="1"/>
  <c r="AW11" i="3"/>
  <c r="BC22" i="3"/>
  <c r="AZ6" i="3"/>
  <c r="BC16" i="3"/>
  <c r="BC19" i="3"/>
  <c r="AS17" i="3"/>
  <c r="AR17" i="3"/>
  <c r="BV13" i="3"/>
  <c r="BV11" i="3"/>
  <c r="AZ21" i="3"/>
  <c r="AS16" i="3"/>
  <c r="AR16" i="3"/>
  <c r="BB6" i="3"/>
  <c r="BS15" i="3" s="1"/>
  <c r="BB16" i="3"/>
  <c r="CA15" i="3" s="1"/>
  <c r="F101" i="3" l="1"/>
  <c r="F100" i="3" s="1"/>
  <c r="BZ13" i="3"/>
  <c r="BV14" i="3"/>
  <c r="BA19" i="3"/>
  <c r="BW10" i="3" s="1"/>
  <c r="BZ11" i="3"/>
  <c r="AZ11" i="3"/>
  <c r="BT11" i="3" s="1"/>
  <c r="BA16" i="3"/>
  <c r="CA10" i="3" s="1"/>
  <c r="BX13" i="3"/>
  <c r="BX10" i="3"/>
  <c r="BX16" i="3"/>
  <c r="AW12" i="3"/>
  <c r="AY12" i="3"/>
  <c r="BD12" i="3" s="1"/>
  <c r="CA13" i="3"/>
  <c r="CA11" i="3"/>
  <c r="BX12" i="3"/>
  <c r="BC11" i="3"/>
  <c r="F114" i="3"/>
  <c r="AX12" i="3"/>
  <c r="AU12" i="3"/>
  <c r="BW13" i="3"/>
  <c r="BA22" i="3"/>
  <c r="BS16" i="3"/>
  <c r="BS10" i="3"/>
  <c r="BA11" i="3"/>
  <c r="BV10" i="3"/>
  <c r="BV16" i="3"/>
  <c r="BY13" i="3"/>
  <c r="BY11" i="3"/>
  <c r="AO12" i="3"/>
  <c r="AP12" i="3"/>
  <c r="Q143" i="3"/>
  <c r="P142" i="3"/>
  <c r="X27" i="3"/>
  <c r="BQ10" i="3"/>
  <c r="BA17" i="3"/>
  <c r="BS14" i="3"/>
  <c r="BS13" i="3"/>
  <c r="BS11" i="3"/>
  <c r="BS12" i="3"/>
  <c r="CB13" i="3"/>
  <c r="CB11" i="3"/>
  <c r="AR12" i="3"/>
  <c r="AS12" i="3"/>
  <c r="BB11" i="3"/>
  <c r="BT15" i="3" s="1"/>
  <c r="BA21" i="3"/>
  <c r="BX14" i="3"/>
  <c r="BW14" i="3" l="1"/>
  <c r="BW12" i="3"/>
  <c r="BW16" i="3"/>
  <c r="CA12" i="3"/>
  <c r="BT12" i="3"/>
  <c r="CA14" i="3"/>
  <c r="BT13" i="3"/>
  <c r="CA16" i="3"/>
  <c r="BC12" i="3"/>
  <c r="BA12" i="3"/>
  <c r="BB12" i="3"/>
  <c r="BU15" i="3" s="1"/>
  <c r="F99" i="3"/>
  <c r="CB10" i="3"/>
  <c r="CB16" i="3"/>
  <c r="CB12" i="3"/>
  <c r="BZ10" i="3"/>
  <c r="BZ16" i="3"/>
  <c r="BZ14" i="3"/>
  <c r="BZ12" i="3"/>
  <c r="F115" i="3"/>
  <c r="BY10" i="3"/>
  <c r="BY16" i="3"/>
  <c r="P143" i="3"/>
  <c r="Q144" i="3"/>
  <c r="BY12" i="3"/>
  <c r="CB14" i="3"/>
  <c r="BQ11" i="3"/>
  <c r="X28" i="3"/>
  <c r="AZ12" i="3"/>
  <c r="BY14" i="3"/>
  <c r="BT10" i="3"/>
  <c r="BT16" i="3"/>
  <c r="BT14" i="3"/>
  <c r="BU10" i="3" l="1"/>
  <c r="BU16" i="3"/>
  <c r="BU11" i="3"/>
  <c r="BU12" i="3"/>
  <c r="BU13" i="3"/>
  <c r="BU14" i="3"/>
  <c r="F116" i="3"/>
  <c r="F98" i="3"/>
  <c r="X29" i="3"/>
  <c r="BQ12" i="3"/>
  <c r="Q145" i="3"/>
  <c r="P144" i="3"/>
  <c r="F97" i="3" l="1"/>
  <c r="F117" i="3"/>
  <c r="P145" i="3"/>
  <c r="Q146" i="3"/>
  <c r="X30" i="3"/>
  <c r="BQ13" i="3"/>
  <c r="BQ14" i="3" l="1"/>
  <c r="X31" i="3"/>
  <c r="F96" i="3"/>
  <c r="Q147" i="3"/>
  <c r="P146" i="3"/>
  <c r="F118" i="3"/>
  <c r="X32" i="3" l="1"/>
  <c r="BQ16" i="3" s="1"/>
  <c r="BQ15" i="3"/>
  <c r="F119" i="3"/>
  <c r="F95" i="3"/>
  <c r="Q148" i="3"/>
  <c r="P147" i="3"/>
  <c r="F120" i="3" l="1"/>
  <c r="F94" i="3"/>
  <c r="P148" i="3"/>
  <c r="Q149" i="3"/>
  <c r="F93" i="3" l="1"/>
  <c r="F121" i="3"/>
  <c r="Q150" i="3"/>
  <c r="P149" i="3"/>
  <c r="F122" i="3" l="1"/>
  <c r="F92" i="3"/>
  <c r="P150" i="3"/>
  <c r="Q151" i="3"/>
  <c r="F91" i="3" l="1"/>
  <c r="F123" i="3"/>
  <c r="P151" i="3"/>
  <c r="Q152" i="3"/>
  <c r="Q153" i="3" l="1"/>
  <c r="P152" i="3"/>
  <c r="F90" i="3"/>
  <c r="F124" i="3"/>
  <c r="F89" i="3" l="1"/>
  <c r="F125" i="3"/>
  <c r="P153" i="3"/>
  <c r="Q154" i="3"/>
  <c r="P154" i="3" l="1"/>
  <c r="Q155" i="3"/>
  <c r="F126" i="3"/>
  <c r="F88" i="3"/>
  <c r="F87" i="3" l="1"/>
  <c r="P155" i="3"/>
  <c r="Q156" i="3"/>
  <c r="F127" i="3"/>
  <c r="Q157" i="3" l="1"/>
  <c r="P156" i="3"/>
  <c r="F128" i="3"/>
  <c r="F86" i="3"/>
  <c r="F129" i="3" l="1"/>
  <c r="F85" i="3"/>
  <c r="M46" i="4" s="1"/>
  <c r="Q158" i="3"/>
  <c r="P157" i="3"/>
  <c r="A4" i="4" l="1"/>
  <c r="M25" i="4"/>
  <c r="M26" i="4"/>
  <c r="M24" i="4"/>
  <c r="M27" i="4"/>
  <c r="M23" i="4"/>
  <c r="M28" i="4"/>
  <c r="M22" i="4"/>
  <c r="M29" i="4"/>
  <c r="M21" i="4"/>
  <c r="M30" i="4"/>
  <c r="M20" i="4"/>
  <c r="M31" i="4"/>
  <c r="M19" i="4"/>
  <c r="M18" i="4"/>
  <c r="M32" i="4"/>
  <c r="M17" i="4"/>
  <c r="M33" i="4"/>
  <c r="M34" i="4"/>
  <c r="M16" i="4"/>
  <c r="M35" i="4"/>
  <c r="M15" i="4"/>
  <c r="M36" i="4"/>
  <c r="M14" i="4"/>
  <c r="M13" i="4"/>
  <c r="M37" i="4"/>
  <c r="M38" i="4"/>
  <c r="M12" i="4"/>
  <c r="M11" i="4"/>
  <c r="M39" i="4"/>
  <c r="M40" i="4"/>
  <c r="M10" i="4"/>
  <c r="M9" i="4"/>
  <c r="M41" i="4"/>
  <c r="M42" i="4"/>
  <c r="M8" i="4"/>
  <c r="M43" i="4"/>
  <c r="M7" i="4"/>
  <c r="M6" i="4"/>
  <c r="M44" i="4"/>
  <c r="M45" i="4"/>
  <c r="M5" i="4"/>
  <c r="M4" i="4"/>
  <c r="G4" i="4"/>
  <c r="A25" i="4"/>
  <c r="A26" i="4"/>
  <c r="A27" i="4"/>
  <c r="A24" i="4"/>
  <c r="A23" i="4"/>
  <c r="A28" i="4"/>
  <c r="A22" i="4"/>
  <c r="A29" i="4"/>
  <c r="A21" i="4"/>
  <c r="A30" i="4"/>
  <c r="A20" i="4"/>
  <c r="A31" i="4"/>
  <c r="A19" i="4"/>
  <c r="A18" i="4"/>
  <c r="A32" i="4"/>
  <c r="A33" i="4"/>
  <c r="A17" i="4"/>
  <c r="A16" i="4"/>
  <c r="A34" i="4"/>
  <c r="A15" i="4"/>
  <c r="A35" i="4"/>
  <c r="A36" i="4"/>
  <c r="A14" i="4"/>
  <c r="A13" i="4"/>
  <c r="A37" i="4"/>
  <c r="A38" i="4"/>
  <c r="A12" i="4"/>
  <c r="A39" i="4"/>
  <c r="A11" i="4"/>
  <c r="A40" i="4"/>
  <c r="A10" i="4"/>
  <c r="A9" i="4"/>
  <c r="A41" i="4"/>
  <c r="A8" i="4"/>
  <c r="A42" i="4"/>
  <c r="A43" i="4"/>
  <c r="A7" i="4"/>
  <c r="A44" i="4"/>
  <c r="A6" i="4"/>
  <c r="A45" i="4"/>
  <c r="A5" i="4"/>
  <c r="A46" i="4"/>
  <c r="G25" i="4"/>
  <c r="G24" i="4"/>
  <c r="G26" i="4"/>
  <c r="G23" i="4"/>
  <c r="G27" i="4"/>
  <c r="G22" i="4"/>
  <c r="G28" i="4"/>
  <c r="G29" i="4"/>
  <c r="G21" i="4"/>
  <c r="G30" i="4"/>
  <c r="G20" i="4"/>
  <c r="G19" i="4"/>
  <c r="G31" i="4"/>
  <c r="G18" i="4"/>
  <c r="G32" i="4"/>
  <c r="G33" i="4"/>
  <c r="G17" i="4"/>
  <c r="G34" i="4"/>
  <c r="G16" i="4"/>
  <c r="G15" i="4"/>
  <c r="G35" i="4"/>
  <c r="G14" i="4"/>
  <c r="G36" i="4"/>
  <c r="G13" i="4"/>
  <c r="G37" i="4"/>
  <c r="G12" i="4"/>
  <c r="G38" i="4"/>
  <c r="G39" i="4"/>
  <c r="G11" i="4"/>
  <c r="G10" i="4"/>
  <c r="G40" i="4"/>
  <c r="G9" i="4"/>
  <c r="G41" i="4"/>
  <c r="G8" i="4"/>
  <c r="G42" i="4"/>
  <c r="G43" i="4"/>
  <c r="G7" i="4"/>
  <c r="G6" i="4"/>
  <c r="G44" i="4"/>
  <c r="G45" i="4"/>
  <c r="G5" i="4"/>
  <c r="G46" i="4"/>
  <c r="D23" i="4"/>
  <c r="D29" i="4"/>
  <c r="D18" i="4"/>
  <c r="D13" i="4"/>
  <c r="D40" i="4"/>
  <c r="D7" i="4"/>
  <c r="J3" i="4"/>
  <c r="J4" i="4"/>
  <c r="J36" i="4"/>
  <c r="J13" i="4"/>
  <c r="J32" i="4"/>
  <c r="J45" i="4"/>
  <c r="J12" i="4"/>
  <c r="J31" i="4"/>
  <c r="D17" i="4"/>
  <c r="D36" i="4"/>
  <c r="D8" i="4"/>
  <c r="D5" i="4"/>
  <c r="J11" i="4"/>
  <c r="J14" i="4"/>
  <c r="J30" i="4"/>
  <c r="D3" i="4"/>
  <c r="J40" i="4"/>
  <c r="D27" i="4"/>
  <c r="D31" i="4"/>
  <c r="D14" i="4"/>
  <c r="D10" i="4"/>
  <c r="D46" i="4"/>
  <c r="J24" i="4"/>
  <c r="J5" i="4"/>
  <c r="J28" i="4"/>
  <c r="J47" i="4"/>
  <c r="J29" i="4"/>
  <c r="D30" i="4"/>
  <c r="D15" i="4"/>
  <c r="D43" i="4"/>
  <c r="J22" i="4"/>
  <c r="J39" i="4"/>
  <c r="J42" i="4"/>
  <c r="J19" i="4"/>
  <c r="D24" i="4"/>
  <c r="D32" i="4"/>
  <c r="D38" i="4"/>
  <c r="D47" i="4"/>
  <c r="J8" i="4"/>
  <c r="J38" i="4"/>
  <c r="J44" i="4"/>
  <c r="D19" i="4"/>
  <c r="D37" i="4"/>
  <c r="J26" i="4"/>
  <c r="M3" i="4"/>
  <c r="J27" i="4"/>
  <c r="D28" i="4"/>
  <c r="D9" i="4"/>
  <c r="J16" i="4"/>
  <c r="J41" i="4"/>
  <c r="D44" i="4"/>
  <c r="J35" i="4"/>
  <c r="D26" i="4"/>
  <c r="D21" i="4"/>
  <c r="D33" i="4"/>
  <c r="D12" i="4"/>
  <c r="D42" i="4"/>
  <c r="J21" i="4"/>
  <c r="A3" i="4"/>
  <c r="J37" i="4"/>
  <c r="J46" i="4"/>
  <c r="G3" i="4"/>
  <c r="J20" i="4"/>
  <c r="D34" i="4"/>
  <c r="D11" i="4"/>
  <c r="D45" i="4"/>
  <c r="J17" i="4"/>
  <c r="J15" i="4"/>
  <c r="J7" i="4"/>
  <c r="J9" i="4"/>
  <c r="D35" i="4"/>
  <c r="J34" i="4"/>
  <c r="D22" i="4"/>
  <c r="J6" i="4"/>
  <c r="D39" i="4"/>
  <c r="J43" i="4"/>
  <c r="D16" i="4"/>
  <c r="J10" i="4"/>
  <c r="D25" i="4"/>
  <c r="D6" i="4"/>
  <c r="J33" i="4"/>
  <c r="D41" i="4"/>
  <c r="J23" i="4"/>
  <c r="D20" i="4"/>
  <c r="J18" i="4"/>
  <c r="J25" i="4"/>
  <c r="D4" i="4"/>
  <c r="P158" i="3"/>
  <c r="Q159" i="3"/>
  <c r="M47" i="4"/>
  <c r="G47" i="4"/>
  <c r="A47" i="4"/>
  <c r="Q160" i="3" l="1"/>
  <c r="P159" i="3"/>
  <c r="Q161" i="3" l="1"/>
  <c r="P160" i="3"/>
  <c r="P161" i="3" l="1"/>
  <c r="Q162" i="3"/>
  <c r="Q163" i="3" l="1"/>
  <c r="P162" i="3"/>
  <c r="P163" i="3" l="1"/>
  <c r="Q164" i="3"/>
  <c r="Q165" i="3" l="1"/>
  <c r="P164" i="3"/>
  <c r="P165" i="3" l="1"/>
  <c r="Q166" i="3"/>
  <c r="P166" i="3" l="1"/>
  <c r="Q167" i="3"/>
  <c r="P167" i="3" l="1"/>
  <c r="Q168" i="3"/>
  <c r="Q169" i="3" l="1"/>
  <c r="P168" i="3"/>
  <c r="P169" i="3" l="1"/>
  <c r="Q170" i="3"/>
  <c r="P170" i="3" l="1"/>
  <c r="Q171" i="3"/>
  <c r="P171" i="3" s="1"/>
</calcChain>
</file>

<file path=xl/sharedStrings.xml><?xml version="1.0" encoding="utf-8"?>
<sst xmlns="http://schemas.openxmlformats.org/spreadsheetml/2006/main" count="264" uniqueCount="186">
  <si>
    <t>www.tykoh.com</t>
  </si>
  <si>
    <t>Driven</t>
  </si>
  <si>
    <t>epsilon</t>
  </si>
  <si>
    <t>Type</t>
  </si>
  <si>
    <t>h</t>
  </si>
  <si>
    <t>f</t>
  </si>
  <si>
    <t>Used for chart</t>
  </si>
  <si>
    <t>Used for table</t>
  </si>
  <si>
    <t>Premium</t>
  </si>
  <si>
    <t>Delta</t>
  </si>
  <si>
    <t>Theta</t>
  </si>
  <si>
    <t>Gamma</t>
  </si>
  <si>
    <t>Vega</t>
  </si>
  <si>
    <t>Rho</t>
  </si>
  <si>
    <t>Base</t>
  </si>
  <si>
    <t>Greek</t>
  </si>
  <si>
    <t>row</t>
  </si>
  <si>
    <t>Spot</t>
  </si>
  <si>
    <t>Strike</t>
  </si>
  <si>
    <t>Barrier</t>
  </si>
  <si>
    <t>Rebate</t>
  </si>
  <si>
    <t>expiry</t>
  </si>
  <si>
    <t>vol</t>
  </si>
  <si>
    <t>Rfr</t>
  </si>
  <si>
    <t>yield</t>
  </si>
  <si>
    <t>d1</t>
  </si>
  <si>
    <t>d2</t>
  </si>
  <si>
    <t>N(d1)</t>
  </si>
  <si>
    <t>N'(d1)</t>
  </si>
  <si>
    <t>N(d2)</t>
  </si>
  <si>
    <t>N(-d1)</t>
  </si>
  <si>
    <t>N(-d2)</t>
  </si>
  <si>
    <t>Call</t>
  </si>
  <si>
    <t>Put</t>
  </si>
  <si>
    <t>Call &amp; Put</t>
  </si>
  <si>
    <t>Call Digital</t>
  </si>
  <si>
    <t>Put Digital</t>
  </si>
  <si>
    <t>u</t>
  </si>
  <si>
    <t>lamda</t>
  </si>
  <si>
    <t>x1</t>
  </si>
  <si>
    <t>x2</t>
  </si>
  <si>
    <t>y1</t>
  </si>
  <si>
    <t>y2</t>
  </si>
  <si>
    <t>z</t>
  </si>
  <si>
    <t>A</t>
  </si>
  <si>
    <t>B</t>
  </si>
  <si>
    <t>C</t>
  </si>
  <si>
    <t>D</t>
  </si>
  <si>
    <t>E</t>
  </si>
  <si>
    <t>F</t>
  </si>
  <si>
    <t>knocked out</t>
  </si>
  <si>
    <t>knocked in</t>
  </si>
  <si>
    <t>Right</t>
  </si>
  <si>
    <t>Left</t>
  </si>
  <si>
    <t>High</t>
  </si>
  <si>
    <t>Low</t>
  </si>
  <si>
    <t>=CHOOSE(D45,C1,R33,R33)</t>
  </si>
  <si>
    <t>&lt;&lt; Greek</t>
  </si>
  <si>
    <t>greek:</t>
  </si>
  <si>
    <t>&lt;&lt; Gamma high</t>
  </si>
  <si>
    <t>&lt;&lt; Gamma low</t>
  </si>
  <si>
    <t>=CHOOSE(H38,0,epsilon,0,0,0,0)+C4</t>
  </si>
  <si>
    <t>&lt; Gamma high</t>
  </si>
  <si>
    <t>Gamma high</t>
  </si>
  <si>
    <t>&lt; Gamma low</t>
  </si>
  <si>
    <t>Result</t>
  </si>
  <si>
    <t>Gamma low</t>
  </si>
  <si>
    <t>Delta:</t>
  </si>
  <si>
    <t>&lt; Delta</t>
  </si>
  <si>
    <t>Gamma:</t>
  </si>
  <si>
    <t>&lt; Theta</t>
  </si>
  <si>
    <t>&lt; Vega</t>
  </si>
  <si>
    <t>Asset</t>
  </si>
  <si>
    <t>&lt; Rho</t>
  </si>
  <si>
    <t>Cash</t>
  </si>
  <si>
    <t>Var</t>
  </si>
  <si>
    <t>Lower</t>
  </si>
  <si>
    <t>Call up and out</t>
  </si>
  <si>
    <t>Upper</t>
  </si>
  <si>
    <t>Put up and out</t>
  </si>
  <si>
    <t>Size</t>
  </si>
  <si>
    <t>Call up and in</t>
  </si>
  <si>
    <t>Inc</t>
  </si>
  <si>
    <t>Put up and in</t>
  </si>
  <si>
    <t>Call down and out</t>
  </si>
  <si>
    <t>Put down and out</t>
  </si>
  <si>
    <t>Volatility</t>
  </si>
  <si>
    <t>Call down and in</t>
  </si>
  <si>
    <t>Time</t>
  </si>
  <si>
    <t>Put down and in</t>
  </si>
  <si>
    <t>Option analyser</t>
  </si>
  <si>
    <t>Expiry</t>
  </si>
  <si>
    <t>Position</t>
  </si>
  <si>
    <t>Prem.</t>
  </si>
  <si>
    <t>Chart</t>
  </si>
  <si>
    <t>Interest rate</t>
  </si>
  <si>
    <t>Asset yield</t>
  </si>
  <si>
    <t/>
  </si>
  <si>
    <t>Load set:</t>
  </si>
  <si>
    <t>vary</t>
  </si>
  <si>
    <t>greek</t>
  </si>
  <si>
    <t>load_set_number</t>
  </si>
  <si>
    <t>Delta as function of moneyness and time / vol</t>
  </si>
  <si>
    <t>Single option, premium vs spot</t>
  </si>
  <si>
    <t>As before but with second option near expiry</t>
  </si>
  <si>
    <t>Third option - further from expiry</t>
  </si>
  <si>
    <t>min</t>
  </si>
  <si>
    <t>Theta - ITM, ATM, OTM near and far from expiry</t>
  </si>
  <si>
    <t>max</t>
  </si>
  <si>
    <t>Delta as function of spot for call</t>
  </si>
  <si>
    <t>Delta for call and put</t>
  </si>
  <si>
    <t>Delta for near to expiry and far to expiry</t>
  </si>
  <si>
    <t>Illustration that delta-neutrality is at only one point.</t>
  </si>
  <si>
    <t>Gamma as function of spot for call and put</t>
  </si>
  <si>
    <t>Balance equation</t>
  </si>
  <si>
    <t xml:space="preserve">Balance equation of delta-neutral derivative portfolio </t>
  </si>
  <si>
    <t>Delta hedge</t>
  </si>
  <si>
    <t>ANZ 21 Apr</t>
  </si>
  <si>
    <t>Delta hedge after time passed - theta decay</t>
  </si>
  <si>
    <t>Delta hedge, theta / gamma and implied vol</t>
  </si>
  <si>
    <t>Rent - calculation of asset price movement size</t>
  </si>
  <si>
    <t>Gamma as a function of volatility</t>
  </si>
  <si>
    <t>Premium vs time for OTM, ATM and ITM options</t>
  </si>
  <si>
    <t>One-touch digital vs digital</t>
  </si>
  <si>
    <t>Digital call vs spot vs expiry</t>
  </si>
  <si>
    <t>Call vs digital delta vs time to expiry</t>
  </si>
  <si>
    <t>Up and out vega as function of spot</t>
  </si>
  <si>
    <t>Vega as a function of volatility</t>
  </si>
  <si>
    <t>Digital call made from vanilla call spread</t>
  </si>
  <si>
    <t>Digital call premium vs spot</t>
  </si>
  <si>
    <t>Knock-out + knock-in = Vanilla</t>
  </si>
  <si>
    <t>Knock-out + knock-in = Vanilla #2</t>
  </si>
  <si>
    <t>Look at the greeks for CUO p11</t>
  </si>
  <si>
    <t>High OTM vega for barrier vs vanilla</t>
  </si>
  <si>
    <t>High vega near barrier</t>
  </si>
  <si>
    <t>Vega as function of strike</t>
  </si>
  <si>
    <t>ITM delta as function of vol</t>
  </si>
  <si>
    <t>Row 1</t>
  </si>
  <si>
    <t>Row 2</t>
  </si>
  <si>
    <t>Row 3</t>
  </si>
  <si>
    <t>Row 4</t>
  </si>
  <si>
    <t>Total</t>
  </si>
  <si>
    <t>Overview</t>
  </si>
  <si>
    <t>This spreadsheet lets you define a portfolio of vanilla and exotic European options and lets you analyse how they behave.  The spreadsheet is for educational use only and should not be used for pricing or risk management purposes.</t>
  </si>
  <si>
    <t>Inputs</t>
  </si>
  <si>
    <t>The cells you can change (i.e. the "input" cells) are marked with a light yellow background ..</t>
  </si>
  <si>
    <t>In addition you can select which greek you want to chart ..</t>
  </si>
  <si>
    <t>Option types</t>
  </si>
  <si>
    <t>The types of options you can define are listed next.</t>
  </si>
  <si>
    <t>Call Option, Put Option.</t>
  </si>
  <si>
    <t>Contract details that must be defined are:  Strike, Expiry (in years) and Position (number of options).</t>
  </si>
  <si>
    <t>Rate details that must be defined are: Spot, Volatility, Interest rate (continuously compounding) and Asset yield (continuously compounding).</t>
  </si>
  <si>
    <t>This refers to the asset underlying the option.  The only contract detail required is the Position - the number of assets held.</t>
  </si>
  <si>
    <t>This refers to cash.  The only contract detail required is the Position - the number of dollars (or other currency) held.</t>
  </si>
  <si>
    <t>Call digital, Put digital</t>
  </si>
  <si>
    <t xml:space="preserve">This is a digital call option that pays off if the option is in the money at expiry.  The contract details required are:  Strike, Expiry and Position.  </t>
  </si>
  <si>
    <t>The option is assumed to pay $1 if it expires in the money.  If you require some other payoff then use the Position field to scale the payoff.  For example if the option should pay $10 then set the position to 10.</t>
  </si>
  <si>
    <t>Call up and out, call down and out, put up and out, put down and out</t>
  </si>
  <si>
    <t>These are "out" barrier options.  Contract details required are:  Strike, barrier, expiry and position.  Additionally you can set a rebate.  The rebate is paid if the option knocks out. The rebate is paid at knockout.</t>
  </si>
  <si>
    <t>Call up and in, call down and in, put up and in, put down and in</t>
  </si>
  <si>
    <t>These are "in" barrier options.  Contract details required are:  Strike, barrier, expiry and position.  Additionally you can set a rebate.  The rebate is paid if the option doesn't knock in. The rebate is paid at expiry (if the option hasn't knocked in by that time).</t>
  </si>
  <si>
    <t>Rates</t>
  </si>
  <si>
    <t>Rates (interest, asset yield) are continuously compounding.  Volatility is annualised log-return volatility.</t>
  </si>
  <si>
    <t>Charts</t>
  </si>
  <si>
    <t>Greeks</t>
  </si>
  <si>
    <t>These "greeks" of a single option or a portfolio of options can be charted:  Premium, delta, gamma, theta, vega and rho.</t>
  </si>
  <si>
    <r>
      <t>f</t>
    </r>
    <r>
      <rPr>
        <sz val="10"/>
        <rFont val="Arial"/>
        <family val="2"/>
      </rPr>
      <t>x</t>
    </r>
    <r>
      <rPr>
        <vertAlign val="subscript"/>
        <sz val="10"/>
        <rFont val="Arial"/>
        <family val="2"/>
      </rPr>
      <t>1</t>
    </r>
  </si>
  <si>
    <r>
      <t>N(f</t>
    </r>
    <r>
      <rPr>
        <sz val="10"/>
        <rFont val="Arial"/>
        <family val="2"/>
      </rPr>
      <t>x</t>
    </r>
    <r>
      <rPr>
        <vertAlign val="subscript"/>
        <sz val="10"/>
        <rFont val="Arial"/>
        <family val="2"/>
      </rPr>
      <t>1</t>
    </r>
    <r>
      <rPr>
        <sz val="18"/>
        <rFont val="Arial"/>
        <family val="2"/>
      </rPr>
      <t>)</t>
    </r>
  </si>
  <si>
    <r>
      <t>N(f</t>
    </r>
    <r>
      <rPr>
        <sz val="10"/>
        <rFont val="Arial"/>
        <family val="2"/>
      </rPr>
      <t>x</t>
    </r>
    <r>
      <rPr>
        <vertAlign val="subscript"/>
        <sz val="10"/>
        <rFont val="Arial"/>
        <family val="2"/>
      </rPr>
      <t>1</t>
    </r>
    <r>
      <rPr>
        <sz val="10"/>
        <rFont val="Arial"/>
        <family val="2"/>
      </rPr>
      <t>-</t>
    </r>
    <r>
      <rPr>
        <sz val="18"/>
        <rFont val="Symbol"/>
        <family val="1"/>
        <charset val="2"/>
      </rPr>
      <t>fs</t>
    </r>
    <r>
      <rPr>
        <vertAlign val="subscript"/>
        <sz val="18"/>
        <rFont val="Arial"/>
        <family val="2"/>
      </rPr>
      <t>T</t>
    </r>
    <r>
      <rPr>
        <vertAlign val="superscript"/>
        <sz val="14"/>
        <rFont val="Arial"/>
        <family val="2"/>
      </rPr>
      <t>0.5</t>
    </r>
    <r>
      <rPr>
        <sz val="18"/>
        <rFont val="Arial"/>
        <family val="2"/>
      </rPr>
      <t>)</t>
    </r>
  </si>
  <si>
    <r>
      <t>f</t>
    </r>
    <r>
      <rPr>
        <sz val="10"/>
        <rFont val="Arial"/>
        <family val="2"/>
      </rPr>
      <t>x2</t>
    </r>
  </si>
  <si>
    <r>
      <t>N(f</t>
    </r>
    <r>
      <rPr>
        <sz val="10"/>
        <rFont val="Arial"/>
        <family val="2"/>
      </rPr>
      <t>x2</t>
    </r>
    <r>
      <rPr>
        <sz val="18"/>
        <rFont val="Arial"/>
        <family val="2"/>
      </rPr>
      <t>)</t>
    </r>
  </si>
  <si>
    <r>
      <t>N(f</t>
    </r>
    <r>
      <rPr>
        <sz val="10"/>
        <rFont val="Arial"/>
        <family val="2"/>
      </rPr>
      <t>x2-</t>
    </r>
    <r>
      <rPr>
        <sz val="18"/>
        <rFont val="Symbol"/>
        <family val="1"/>
        <charset val="2"/>
      </rPr>
      <t>fs</t>
    </r>
    <r>
      <rPr>
        <vertAlign val="subscript"/>
        <sz val="18"/>
        <rFont val="Arial"/>
        <family val="2"/>
      </rPr>
      <t>T</t>
    </r>
    <r>
      <rPr>
        <vertAlign val="superscript"/>
        <sz val="14"/>
        <rFont val="Arial"/>
        <family val="2"/>
      </rPr>
      <t>0.5</t>
    </r>
    <r>
      <rPr>
        <sz val="18"/>
        <rFont val="Arial"/>
        <family val="2"/>
      </rPr>
      <t>)</t>
    </r>
  </si>
  <si>
    <r>
      <t>h</t>
    </r>
    <r>
      <rPr>
        <sz val="18"/>
        <rFont val="Arial"/>
        <family val="2"/>
      </rPr>
      <t>y</t>
    </r>
    <r>
      <rPr>
        <vertAlign val="subscript"/>
        <sz val="18"/>
        <rFont val="Arial"/>
        <family val="2"/>
      </rPr>
      <t>1</t>
    </r>
  </si>
  <si>
    <r>
      <t>N(h</t>
    </r>
    <r>
      <rPr>
        <sz val="18"/>
        <rFont val="Arial"/>
        <family val="2"/>
      </rPr>
      <t>y</t>
    </r>
    <r>
      <rPr>
        <vertAlign val="subscript"/>
        <sz val="18"/>
        <rFont val="Arial"/>
        <family val="2"/>
      </rPr>
      <t>1)</t>
    </r>
  </si>
  <si>
    <r>
      <t>h</t>
    </r>
    <r>
      <rPr>
        <sz val="18"/>
        <rFont val="Arial"/>
        <family val="2"/>
      </rPr>
      <t>y</t>
    </r>
    <r>
      <rPr>
        <vertAlign val="subscript"/>
        <sz val="18"/>
        <rFont val="Arial"/>
        <family val="2"/>
      </rPr>
      <t>2</t>
    </r>
  </si>
  <si>
    <r>
      <t>N(h</t>
    </r>
    <r>
      <rPr>
        <sz val="18"/>
        <rFont val="Arial"/>
        <family val="2"/>
      </rPr>
      <t>y</t>
    </r>
    <r>
      <rPr>
        <vertAlign val="subscript"/>
        <sz val="18"/>
        <rFont val="Arial"/>
        <family val="2"/>
      </rPr>
      <t>2)</t>
    </r>
  </si>
  <si>
    <r>
      <t>N(h</t>
    </r>
    <r>
      <rPr>
        <sz val="18"/>
        <rFont val="Arial"/>
        <family val="2"/>
      </rPr>
      <t>y</t>
    </r>
    <r>
      <rPr>
        <vertAlign val="subscript"/>
        <sz val="18"/>
        <rFont val="Symbol"/>
        <family val="1"/>
        <charset val="2"/>
      </rPr>
      <t>1</t>
    </r>
    <r>
      <rPr>
        <sz val="10"/>
        <rFont val="Arial"/>
        <family val="2"/>
      </rPr>
      <t>-</t>
    </r>
    <r>
      <rPr>
        <sz val="18"/>
        <rFont val="Symbol"/>
        <family val="1"/>
        <charset val="2"/>
      </rPr>
      <t>hs</t>
    </r>
    <r>
      <rPr>
        <vertAlign val="subscript"/>
        <sz val="18"/>
        <rFont val="Arial"/>
        <family val="2"/>
      </rPr>
      <t>T</t>
    </r>
    <r>
      <rPr>
        <vertAlign val="superscript"/>
        <sz val="14"/>
        <rFont val="Arial"/>
        <family val="2"/>
      </rPr>
      <t>0.5</t>
    </r>
    <r>
      <rPr>
        <sz val="18"/>
        <rFont val="Arial"/>
        <family val="2"/>
      </rPr>
      <t>)</t>
    </r>
  </si>
  <si>
    <r>
      <t>N(h</t>
    </r>
    <r>
      <rPr>
        <sz val="18"/>
        <rFont val="Arial"/>
        <family val="2"/>
      </rPr>
      <t>y</t>
    </r>
    <r>
      <rPr>
        <vertAlign val="subscript"/>
        <sz val="18"/>
        <rFont val="Arial"/>
        <family val="2"/>
      </rPr>
      <t>2</t>
    </r>
    <r>
      <rPr>
        <sz val="10"/>
        <rFont val="Arial"/>
        <family val="2"/>
      </rPr>
      <t>-</t>
    </r>
    <r>
      <rPr>
        <sz val="18"/>
        <rFont val="Symbol"/>
        <family val="1"/>
        <charset val="2"/>
      </rPr>
      <t>hs</t>
    </r>
    <r>
      <rPr>
        <vertAlign val="subscript"/>
        <sz val="18"/>
        <rFont val="Arial"/>
        <family val="2"/>
      </rPr>
      <t>T</t>
    </r>
    <r>
      <rPr>
        <vertAlign val="superscript"/>
        <sz val="14"/>
        <rFont val="Arial"/>
        <family val="2"/>
      </rPr>
      <t>0.5</t>
    </r>
    <r>
      <rPr>
        <sz val="18"/>
        <rFont val="Arial"/>
        <family val="2"/>
      </rPr>
      <t>)</t>
    </r>
  </si>
  <si>
    <t>Financial Mathematics</t>
  </si>
  <si>
    <t>- Option analyser -</t>
  </si>
  <si>
    <t>This spreadsheet is used in a Financial Mathematics workshop presented by Tykoh Group.  The spreadsheet lets you define a portfolio of European options and lets you analyse how the options behave.</t>
  </si>
  <si>
    <t>This spreadsheet may be freely distributed provided it is not altered in any way.</t>
  </si>
  <si>
    <t>Copyright © Tykoh Group Pty Limited 2010 - All rights reserved.</t>
  </si>
  <si>
    <t xml:space="preserve">Disclaimer:  This spreadsheet is for educational purposes only and should not be used for pricing or risk management purposes.  Tykoh Group ("Tykoh") disclaims all warranties of quality, accuracy, correctness, or fitness for a particular purpose. The user assumes the entire risk as to the quality , accuracy and correctness of this work.  The user assumes the entire risk as to consequences of any actions user may take or not take as a result  of anything in this work.  In no event will Tykoh be liable for any indirect, special, or consequential damages. </t>
  </si>
  <si>
    <t>inf</t>
  </si>
  <si>
    <t>The greeks can be charted as a function of spot, volatility or time.  If as a function of spot or volatility then the greeks are calculated for spots or volatilities ranging from +/- 60% of the current value.  If as a function of time then greeks are calculated for times from just above zero to just less than the furthest expiry. [Furthest expiry is the option that has the most time to expiry - irrespective of whether or not it is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</si>
</sst>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
    <numFmt numFmtId="166" formatCode=";;;"/>
    <numFmt numFmtId="167" formatCode="0.000"/>
    <numFmt numFmtId="168" formatCode="0.0000"/>
    <numFmt numFmtId="169" formatCode="0.00000"/>
  </numFmts>
  <fonts count="49">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0"/>
      <color indexed="18"/>
      <name val="Helv"/>
    </font>
    <font>
      <sz val="11"/>
      <color indexed="52"/>
      <name val="Calibri"/>
      <family val="2"/>
    </font>
    <font>
      <sz val="10"/>
      <name val="Helv"/>
    </font>
    <font>
      <sz val="11"/>
      <color indexed="60"/>
      <name val="Calibri"/>
      <family val="2"/>
    </font>
    <font>
      <sz val="10"/>
      <name val="Arial"/>
      <family val="2"/>
    </font>
    <font>
      <b/>
      <sz val="11"/>
      <color indexed="63"/>
      <name val="Calibri"/>
      <family val="2"/>
    </font>
    <font>
      <sz val="10"/>
      <name val="Helvetica 45 Light"/>
      <family val="2"/>
    </font>
    <font>
      <b/>
      <sz val="18"/>
      <color indexed="56"/>
      <name val="Cambria"/>
      <family val="2"/>
    </font>
    <font>
      <b/>
      <sz val="11"/>
      <color indexed="8"/>
      <name val="Calibri"/>
      <family val="2"/>
    </font>
    <font>
      <sz val="11"/>
      <color indexed="10"/>
      <name val="Calibri"/>
      <family val="2"/>
    </font>
    <font>
      <b/>
      <sz val="12"/>
      <name val="Arial"/>
      <family val="2"/>
    </font>
    <font>
      <b/>
      <sz val="10"/>
      <name val="Arial"/>
      <family val="2"/>
    </font>
    <font>
      <u/>
      <sz val="9"/>
      <color indexed="12"/>
      <name val="Arial"/>
      <family val="2"/>
    </font>
    <font>
      <sz val="9"/>
      <name val="Arial"/>
      <family val="2"/>
    </font>
    <font>
      <sz val="8"/>
      <name val="Arial"/>
      <family val="2"/>
    </font>
    <font>
      <sz val="10"/>
      <color indexed="9"/>
      <name val="Arial"/>
      <family val="2"/>
    </font>
    <font>
      <sz val="18"/>
      <name val="Symbol"/>
      <family val="1"/>
      <charset val="2"/>
    </font>
    <font>
      <sz val="10"/>
      <name val="Symbol"/>
      <family val="1"/>
      <charset val="2"/>
    </font>
    <font>
      <vertAlign val="subscript"/>
      <sz val="10"/>
      <name val="Arial"/>
      <family val="2"/>
    </font>
    <font>
      <sz val="18"/>
      <name val="Arial"/>
      <family val="2"/>
    </font>
    <font>
      <vertAlign val="subscript"/>
      <sz val="18"/>
      <name val="Arial"/>
      <family val="2"/>
    </font>
    <font>
      <vertAlign val="superscript"/>
      <sz val="14"/>
      <name val="Arial"/>
      <family val="2"/>
    </font>
    <font>
      <vertAlign val="subscript"/>
      <sz val="18"/>
      <name val="Symbol"/>
      <family val="1"/>
      <charset val="2"/>
    </font>
    <font>
      <sz val="26"/>
      <name val="Symbol"/>
      <family val="1"/>
      <charset val="2"/>
    </font>
    <font>
      <sz val="10"/>
      <color indexed="10"/>
      <name val="Arial"/>
      <family val="2"/>
    </font>
    <font>
      <b/>
      <u/>
      <sz val="12"/>
      <name val="Arial"/>
      <family val="2"/>
    </font>
    <font>
      <i/>
      <sz val="10"/>
      <name val="Arial"/>
      <family val="2"/>
    </font>
    <font>
      <u/>
      <sz val="9"/>
      <name val="Arial"/>
      <family val="2"/>
    </font>
    <font>
      <b/>
      <u/>
      <sz val="10"/>
      <name val="Arial"/>
      <family val="2"/>
    </font>
    <font>
      <i/>
      <sz val="8"/>
      <color indexed="63"/>
      <name val="Arial"/>
      <family val="2"/>
    </font>
    <font>
      <sz val="10"/>
      <color indexed="63"/>
      <name val="Arial"/>
      <family val="2"/>
    </font>
    <font>
      <b/>
      <sz val="18"/>
      <name val="Arial"/>
      <family val="2"/>
    </font>
    <font>
      <b/>
      <sz val="14"/>
      <name val="Arial"/>
      <family val="2"/>
    </font>
    <font>
      <i/>
      <sz val="8"/>
      <color indexed="55"/>
      <name val="Arial"/>
      <family val="2"/>
    </font>
    <font>
      <sz val="10"/>
      <color rgb="FF000000"/>
      <name val="Arial"/>
      <family val="2"/>
    </font>
    <font>
      <sz val="10"/>
      <color rgb="FFFF000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13"/>
        <bgColor indexed="64"/>
      </patternFill>
    </fill>
    <fill>
      <patternFill patternType="solid">
        <fgColor indexed="26"/>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top style="thin">
        <color indexed="23"/>
      </top>
      <bottom style="thin">
        <color indexed="23"/>
      </bottom>
      <diagonal/>
    </border>
    <border>
      <left style="thin">
        <color indexed="22"/>
      </left>
      <right/>
      <top style="thin">
        <color indexed="22"/>
      </top>
      <bottom style="thin">
        <color indexed="22"/>
      </bottom>
      <diagonal/>
    </border>
    <border>
      <left style="thin">
        <color indexed="64"/>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bottom style="thin">
        <color indexed="22"/>
      </bottom>
      <diagonal/>
    </border>
    <border>
      <left style="thin">
        <color indexed="23"/>
      </left>
      <right style="thin">
        <color indexed="23"/>
      </right>
      <top/>
      <bottom/>
      <diagonal/>
    </border>
    <border>
      <left style="thin">
        <color indexed="64"/>
      </left>
      <right style="thin">
        <color indexed="22"/>
      </right>
      <top style="thin">
        <color indexed="22"/>
      </top>
      <bottom style="thin">
        <color indexed="22"/>
      </bottom>
      <diagonal/>
    </border>
    <border>
      <left style="thin">
        <color indexed="23"/>
      </left>
      <right style="thin">
        <color indexed="23"/>
      </right>
      <top style="thin">
        <color indexed="23"/>
      </top>
      <bottom/>
      <diagonal/>
    </border>
    <border>
      <left/>
      <right/>
      <top style="thin">
        <color indexed="23"/>
      </top>
      <bottom style="thin">
        <color indexed="23"/>
      </bottom>
      <diagonal/>
    </border>
    <border>
      <left style="thin">
        <color indexed="64"/>
      </left>
      <right style="thin">
        <color indexed="23"/>
      </right>
      <top style="thin">
        <color indexed="64"/>
      </top>
      <bottom/>
      <diagonal/>
    </border>
    <border>
      <left style="thin">
        <color indexed="23"/>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right style="thin">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4"/>
      </left>
      <right/>
      <top style="thin">
        <color indexed="64"/>
      </top>
      <bottom style="thin">
        <color indexed="64"/>
      </bottom>
      <diagonal/>
    </border>
    <border>
      <left/>
      <right style="thin">
        <color indexed="23"/>
      </right>
      <top style="thin">
        <color indexed="23"/>
      </top>
      <bottom style="thin">
        <color indexed="23"/>
      </bottom>
      <diagonal/>
    </border>
    <border>
      <left style="thin">
        <color indexed="22"/>
      </left>
      <right style="thin">
        <color indexed="22"/>
      </right>
      <top style="thin">
        <color indexed="22"/>
      </top>
      <bottom style="thin">
        <color indexed="64"/>
      </bottom>
      <diagonal/>
    </border>
    <border>
      <left/>
      <right style="thin">
        <color indexed="64"/>
      </right>
      <top style="thin">
        <color indexed="22"/>
      </top>
      <bottom style="thin">
        <color indexed="64"/>
      </bottom>
      <diagonal/>
    </border>
    <border>
      <left/>
      <right style="thin">
        <color indexed="22"/>
      </right>
      <top style="thin">
        <color indexed="22"/>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4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15" fontId="13" fillId="22" borderId="0" applyNumberFormat="0" applyFill="0" applyBorder="0" applyAlignment="0">
      <alignment horizontal="center"/>
      <protection locked="0"/>
    </xf>
    <xf numFmtId="0" fontId="14" fillId="0" borderId="6" applyNumberFormat="0" applyFill="0" applyAlignment="0" applyProtection="0"/>
    <xf numFmtId="15" fontId="15" fillId="0" borderId="0" applyFill="0" applyBorder="0">
      <alignment horizontal="right"/>
    </xf>
    <xf numFmtId="0" fontId="16" fillId="23" borderId="0" applyNumberFormat="0" applyBorder="0" applyAlignment="0" applyProtection="0"/>
    <xf numFmtId="0" fontId="17" fillId="24" borderId="7" applyNumberFormat="0" applyFont="0" applyAlignment="0" applyProtection="0"/>
    <xf numFmtId="0" fontId="18" fillId="20" borderId="8" applyNumberFormat="0" applyAlignment="0" applyProtection="0"/>
    <xf numFmtId="9" fontId="1" fillId="0" borderId="0" applyFont="0" applyFill="0" applyBorder="0" applyAlignment="0" applyProtection="0"/>
    <xf numFmtId="0" fontId="19" fillId="0" borderId="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230">
    <xf numFmtId="0" fontId="0" fillId="0" borderId="0" xfId="0"/>
    <xf numFmtId="0" fontId="28" fillId="0" borderId="0" xfId="0" applyFont="1" applyProtection="1">
      <protection hidden="1"/>
    </xf>
    <xf numFmtId="0" fontId="0" fillId="0" borderId="0" xfId="0" applyProtection="1">
      <protection hidden="1"/>
    </xf>
    <xf numFmtId="0" fontId="29" fillId="0" borderId="1" xfId="0" applyFont="1" applyBorder="1" applyAlignment="1" applyProtection="1">
      <alignment horizontal="center"/>
      <protection hidden="1"/>
    </xf>
    <xf numFmtId="0" fontId="0" fillId="0" borderId="0" xfId="0" applyFill="1" applyProtection="1">
      <protection hidden="1"/>
    </xf>
    <xf numFmtId="0" fontId="0" fillId="0" borderId="1" xfId="0" applyBorder="1" applyAlignment="1" applyProtection="1">
      <alignment horizontal="center"/>
      <protection hidden="1"/>
    </xf>
    <xf numFmtId="0" fontId="0" fillId="0" borderId="10" xfId="0" applyBorder="1" applyAlignment="1" applyProtection="1">
      <alignment horizontal="center"/>
      <protection hidden="1"/>
    </xf>
    <xf numFmtId="0" fontId="0" fillId="0" borderId="0" xfId="0" applyBorder="1" applyAlignment="1" applyProtection="1">
      <alignment horizontal="center"/>
      <protection hidden="1"/>
    </xf>
    <xf numFmtId="0" fontId="30" fillId="0" borderId="0" xfId="0" applyFont="1" applyBorder="1" applyAlignment="1" applyProtection="1">
      <alignment horizontal="center"/>
      <protection hidden="1"/>
    </xf>
    <xf numFmtId="0" fontId="0" fillId="0" borderId="7" xfId="0" applyBorder="1" applyProtection="1">
      <protection hidden="1"/>
    </xf>
    <xf numFmtId="0" fontId="0" fillId="0" borderId="11" xfId="0" applyBorder="1" applyProtection="1">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3" xfId="0" applyBorder="1" applyProtection="1">
      <protection hidden="1"/>
    </xf>
    <xf numFmtId="0" fontId="0" fillId="0" borderId="14" xfId="0" applyBorder="1" applyProtection="1">
      <protection hidden="1"/>
    </xf>
    <xf numFmtId="0" fontId="0" fillId="0" borderId="12" xfId="0" applyBorder="1" applyProtection="1">
      <protection hidden="1"/>
    </xf>
    <xf numFmtId="0" fontId="0" fillId="0" borderId="15" xfId="0" applyBorder="1" applyProtection="1">
      <protection hidden="1"/>
    </xf>
    <xf numFmtId="0" fontId="0" fillId="0" borderId="1" xfId="0" applyBorder="1" applyProtection="1">
      <protection hidden="1"/>
    </xf>
    <xf numFmtId="0" fontId="0" fillId="0" borderId="16" xfId="0" applyFill="1" applyBorder="1" applyAlignment="1" applyProtection="1">
      <alignment horizontal="center"/>
      <protection hidden="1"/>
    </xf>
    <xf numFmtId="0" fontId="0" fillId="0" borderId="1" xfId="0" applyFill="1" applyBorder="1" applyAlignment="1" applyProtection="1">
      <alignment horizontal="center"/>
      <protection hidden="1"/>
    </xf>
    <xf numFmtId="0" fontId="32" fillId="0" borderId="1" xfId="0" applyFont="1" applyFill="1" applyBorder="1" applyAlignment="1" applyProtection="1">
      <alignment horizontal="center"/>
      <protection hidden="1"/>
    </xf>
    <xf numFmtId="0" fontId="0" fillId="0" borderId="17" xfId="0" applyBorder="1" applyAlignment="1" applyProtection="1">
      <alignment horizontal="center"/>
      <protection hidden="1"/>
    </xf>
    <xf numFmtId="0" fontId="0" fillId="0" borderId="7" xfId="0" applyBorder="1" applyAlignment="1" applyProtection="1">
      <alignment horizontal="center"/>
      <protection hidden="1"/>
    </xf>
    <xf numFmtId="0" fontId="0" fillId="0" borderId="17" xfId="0" applyBorder="1" applyProtection="1">
      <protection hidden="1"/>
    </xf>
    <xf numFmtId="0" fontId="28" fillId="0" borderId="0" xfId="0" applyFont="1" applyFill="1" applyProtection="1">
      <protection hidden="1"/>
    </xf>
    <xf numFmtId="0" fontId="0" fillId="0" borderId="1" xfId="0" applyFill="1" applyBorder="1" applyProtection="1">
      <protection hidden="1"/>
    </xf>
    <xf numFmtId="9" fontId="0" fillId="0" borderId="1" xfId="0" applyNumberFormat="1" applyFill="1" applyBorder="1" applyAlignment="1" applyProtection="1">
      <alignment horizontal="center"/>
      <protection hidden="1"/>
    </xf>
    <xf numFmtId="0" fontId="0" fillId="0" borderId="18" xfId="0" applyFill="1" applyBorder="1" applyAlignment="1" applyProtection="1">
      <alignment horizontal="center"/>
      <protection hidden="1"/>
    </xf>
    <xf numFmtId="169" fontId="0" fillId="0" borderId="1" xfId="0" applyNumberFormat="1" applyFill="1" applyBorder="1" applyAlignment="1" applyProtection="1">
      <alignment horizontal="center"/>
      <protection hidden="1"/>
    </xf>
    <xf numFmtId="0" fontId="0" fillId="0" borderId="0" xfId="0" quotePrefix="1" applyFill="1" applyProtection="1">
      <protection hidden="1"/>
    </xf>
    <xf numFmtId="0" fontId="0" fillId="0" borderId="0" xfId="0" applyFill="1" applyAlignment="1" applyProtection="1">
      <alignment horizontal="center"/>
      <protection hidden="1"/>
    </xf>
    <xf numFmtId="10" fontId="0" fillId="0" borderId="0" xfId="0" applyNumberFormat="1" applyFill="1" applyProtection="1">
      <protection hidden="1"/>
    </xf>
    <xf numFmtId="0" fontId="0" fillId="0" borderId="19" xfId="0" applyFill="1" applyBorder="1" applyAlignment="1" applyProtection="1">
      <alignment horizontal="center"/>
      <protection hidden="1"/>
    </xf>
    <xf numFmtId="0" fontId="0" fillId="0" borderId="19" xfId="0" applyFill="1" applyBorder="1" applyProtection="1">
      <protection hidden="1"/>
    </xf>
    <xf numFmtId="2" fontId="0" fillId="0" borderId="1" xfId="0" applyNumberFormat="1" applyFill="1" applyBorder="1" applyProtection="1">
      <protection hidden="1"/>
    </xf>
    <xf numFmtId="0" fontId="0" fillId="0" borderId="1" xfId="0" applyNumberFormat="1" applyFill="1" applyBorder="1" applyProtection="1">
      <protection hidden="1"/>
    </xf>
    <xf numFmtId="0" fontId="0" fillId="0" borderId="1" xfId="0" applyNumberFormat="1" applyFill="1" applyBorder="1" applyAlignment="1" applyProtection="1">
      <alignment horizontal="center"/>
      <protection hidden="1"/>
    </xf>
    <xf numFmtId="9" fontId="0" fillId="0" borderId="1" xfId="0" applyNumberFormat="1" applyFill="1" applyBorder="1" applyProtection="1">
      <protection hidden="1"/>
    </xf>
    <xf numFmtId="0" fontId="0" fillId="0" borderId="10" xfId="0" applyFill="1" applyBorder="1" applyAlignment="1" applyProtection="1">
      <alignment horizontal="center"/>
      <protection hidden="1"/>
    </xf>
    <xf numFmtId="0" fontId="0" fillId="0" borderId="20" xfId="0" applyFill="1" applyBorder="1" applyAlignment="1" applyProtection="1">
      <alignment horizontal="center"/>
      <protection hidden="1"/>
    </xf>
    <xf numFmtId="0" fontId="0" fillId="0" borderId="21" xfId="0" applyFill="1" applyBorder="1" applyAlignment="1" applyProtection="1">
      <alignment horizontal="center"/>
      <protection hidden="1"/>
    </xf>
    <xf numFmtId="0" fontId="0" fillId="0" borderId="22" xfId="0" applyFill="1" applyBorder="1" applyAlignment="1" applyProtection="1">
      <alignment horizontal="center"/>
      <protection hidden="1"/>
    </xf>
    <xf numFmtId="9" fontId="0" fillId="0" borderId="0" xfId="0" applyNumberFormat="1" applyFill="1" applyProtection="1">
      <protection hidden="1"/>
    </xf>
    <xf numFmtId="0" fontId="0" fillId="0" borderId="23" xfId="0" applyFill="1" applyBorder="1" applyAlignment="1" applyProtection="1">
      <alignment horizontal="center"/>
      <protection hidden="1"/>
    </xf>
    <xf numFmtId="0" fontId="0" fillId="0" borderId="24" xfId="0" applyFill="1" applyBorder="1" applyAlignment="1" applyProtection="1">
      <alignment horizontal="center"/>
      <protection hidden="1"/>
    </xf>
    <xf numFmtId="0" fontId="0" fillId="0" borderId="0" xfId="0" applyFill="1" applyBorder="1" applyProtection="1">
      <protection hidden="1"/>
    </xf>
    <xf numFmtId="0" fontId="0" fillId="0" borderId="25" xfId="0" applyBorder="1" applyProtection="1">
      <protection hidden="1"/>
    </xf>
    <xf numFmtId="0" fontId="29" fillId="0" borderId="26" xfId="0" applyFont="1" applyBorder="1" applyAlignment="1" applyProtection="1">
      <alignment horizontal="center"/>
      <protection hidden="1"/>
    </xf>
    <xf numFmtId="0" fontId="29" fillId="0" borderId="7" xfId="0" applyFont="1" applyBorder="1" applyAlignment="1" applyProtection="1">
      <alignment horizontal="center"/>
      <protection hidden="1"/>
    </xf>
    <xf numFmtId="0" fontId="1" fillId="0" borderId="7" xfId="0" applyFont="1" applyBorder="1" applyProtection="1">
      <protection hidden="1"/>
    </xf>
    <xf numFmtId="0" fontId="0" fillId="0" borderId="11" xfId="0" applyFill="1" applyBorder="1" applyProtection="1">
      <protection hidden="1"/>
    </xf>
    <xf numFmtId="0" fontId="0" fillId="0" borderId="17" xfId="0" applyFill="1" applyBorder="1" applyAlignment="1" applyProtection="1">
      <alignment horizontal="center"/>
      <protection hidden="1"/>
    </xf>
    <xf numFmtId="0" fontId="0" fillId="0" borderId="17" xfId="0" applyFill="1" applyBorder="1" applyProtection="1">
      <protection hidden="1"/>
    </xf>
    <xf numFmtId="0" fontId="0" fillId="0" borderId="26" xfId="0" applyBorder="1" applyProtection="1">
      <protection hidden="1"/>
    </xf>
    <xf numFmtId="0" fontId="0" fillId="0" borderId="26" xfId="0" applyFill="1" applyBorder="1" applyProtection="1">
      <protection hidden="1"/>
    </xf>
    <xf numFmtId="0" fontId="0" fillId="0" borderId="0" xfId="0" applyBorder="1" applyProtection="1">
      <protection hidden="1"/>
    </xf>
    <xf numFmtId="0" fontId="0" fillId="0" borderId="27" xfId="0" applyBorder="1" applyProtection="1">
      <protection hidden="1"/>
    </xf>
    <xf numFmtId="0" fontId="0" fillId="0" borderId="27" xfId="0" applyBorder="1" applyAlignment="1" applyProtection="1">
      <alignment horizontal="center"/>
      <protection hidden="1"/>
    </xf>
    <xf numFmtId="169" fontId="0" fillId="0" borderId="28" xfId="0" applyNumberFormat="1" applyBorder="1" applyProtection="1">
      <protection hidden="1"/>
    </xf>
    <xf numFmtId="169" fontId="0" fillId="0" borderId="22" xfId="0" applyNumberFormat="1" applyBorder="1" applyProtection="1">
      <protection hidden="1"/>
    </xf>
    <xf numFmtId="0" fontId="0" fillId="0" borderId="29" xfId="0" applyBorder="1" applyProtection="1">
      <protection hidden="1"/>
    </xf>
    <xf numFmtId="0" fontId="0" fillId="0" borderId="22" xfId="0" applyBorder="1" applyAlignment="1" applyProtection="1">
      <alignment horizontal="center"/>
      <protection hidden="1"/>
    </xf>
    <xf numFmtId="0" fontId="0" fillId="0" borderId="0" xfId="0" quotePrefix="1" applyProtection="1">
      <protection hidden="1"/>
    </xf>
    <xf numFmtId="0" fontId="29" fillId="0" borderId="27" xfId="0" applyFont="1" applyBorder="1" applyAlignment="1" applyProtection="1">
      <alignment horizontal="center"/>
      <protection hidden="1"/>
    </xf>
    <xf numFmtId="0" fontId="0" fillId="0" borderId="27" xfId="0" applyBorder="1" applyAlignment="1" applyProtection="1">
      <protection hidden="1"/>
    </xf>
    <xf numFmtId="9" fontId="1" fillId="0" borderId="27" xfId="42" applyFont="1" applyBorder="1" applyAlignment="1" applyProtection="1">
      <protection hidden="1"/>
    </xf>
    <xf numFmtId="168" fontId="0" fillId="0" borderId="27" xfId="0" applyNumberFormat="1" applyBorder="1" applyAlignment="1" applyProtection="1">
      <protection hidden="1"/>
    </xf>
    <xf numFmtId="0" fontId="0" fillId="0" borderId="30" xfId="0" applyBorder="1" applyAlignment="1" applyProtection="1">
      <alignment horizontal="center"/>
      <protection hidden="1"/>
    </xf>
    <xf numFmtId="0" fontId="0" fillId="0" borderId="30" xfId="0" applyBorder="1" applyProtection="1">
      <protection hidden="1"/>
    </xf>
    <xf numFmtId="0" fontId="0" fillId="0" borderId="31" xfId="0" applyBorder="1" applyProtection="1">
      <protection hidden="1"/>
    </xf>
    <xf numFmtId="0" fontId="0" fillId="0" borderId="23" xfId="0" applyFill="1" applyBorder="1" applyProtection="1">
      <protection hidden="1"/>
    </xf>
    <xf numFmtId="0" fontId="0" fillId="0" borderId="32" xfId="0" applyBorder="1" applyProtection="1">
      <protection hidden="1"/>
    </xf>
    <xf numFmtId="0" fontId="0" fillId="0" borderId="32" xfId="0" applyFill="1" applyBorder="1" applyProtection="1">
      <protection hidden="1"/>
    </xf>
    <xf numFmtId="0" fontId="0" fillId="0" borderId="27" xfId="0" quotePrefix="1" applyBorder="1" applyProtection="1">
      <protection hidden="1"/>
    </xf>
    <xf numFmtId="0" fontId="0" fillId="0" borderId="7" xfId="0" quotePrefix="1" applyBorder="1" applyProtection="1">
      <protection hidden="1"/>
    </xf>
    <xf numFmtId="0" fontId="0" fillId="0" borderId="27" xfId="0" applyFill="1" applyBorder="1" applyProtection="1">
      <protection hidden="1"/>
    </xf>
    <xf numFmtId="169" fontId="0" fillId="0" borderId="29" xfId="0" applyNumberFormat="1" applyFill="1" applyBorder="1" applyAlignment="1" applyProtection="1">
      <alignment horizontal="center"/>
      <protection hidden="1"/>
    </xf>
    <xf numFmtId="9" fontId="0" fillId="0" borderId="27" xfId="0" applyNumberFormat="1" applyBorder="1" applyProtection="1">
      <protection hidden="1"/>
    </xf>
    <xf numFmtId="0" fontId="0" fillId="0" borderId="0" xfId="0" quotePrefix="1" applyBorder="1" applyProtection="1">
      <protection hidden="1"/>
    </xf>
    <xf numFmtId="0" fontId="0" fillId="0" borderId="0" xfId="0" applyBorder="1" applyAlignment="1" applyProtection="1">
      <protection hidden="1"/>
    </xf>
    <xf numFmtId="168" fontId="0" fillId="0" borderId="0" xfId="0" applyNumberFormat="1" applyBorder="1" applyAlignment="1" applyProtection="1">
      <protection hidden="1"/>
    </xf>
    <xf numFmtId="0" fontId="0" fillId="0" borderId="33" xfId="0" applyBorder="1" applyProtection="1">
      <protection hidden="1"/>
    </xf>
    <xf numFmtId="0" fontId="0" fillId="0" borderId="13" xfId="0" applyFill="1" applyBorder="1" applyProtection="1">
      <protection hidden="1"/>
    </xf>
    <xf numFmtId="0" fontId="0" fillId="0" borderId="7" xfId="0" applyFill="1" applyBorder="1" applyProtection="1">
      <protection hidden="1"/>
    </xf>
    <xf numFmtId="2" fontId="0" fillId="0" borderId="0" xfId="0" applyNumberFormat="1" applyProtection="1">
      <protection hidden="1"/>
    </xf>
    <xf numFmtId="0" fontId="36" fillId="0" borderId="0" xfId="0" applyFont="1" applyProtection="1">
      <protection hidden="1"/>
    </xf>
    <xf numFmtId="164" fontId="0" fillId="0" borderId="0" xfId="0" applyNumberFormat="1" applyProtection="1">
      <protection hidden="1"/>
    </xf>
    <xf numFmtId="0" fontId="0" fillId="0" borderId="0" xfId="0" applyNumberFormat="1" applyProtection="1">
      <protection hidden="1"/>
    </xf>
    <xf numFmtId="0" fontId="28" fillId="0" borderId="34" xfId="0" applyFont="1" applyBorder="1" applyProtection="1">
      <protection hidden="1"/>
    </xf>
    <xf numFmtId="0" fontId="0" fillId="0" borderId="35" xfId="0" applyBorder="1" applyProtection="1">
      <protection hidden="1"/>
    </xf>
    <xf numFmtId="164" fontId="0" fillId="0" borderId="35" xfId="0" applyNumberFormat="1" applyBorder="1" applyProtection="1">
      <protection hidden="1"/>
    </xf>
    <xf numFmtId="0" fontId="0" fillId="0" borderId="35" xfId="0" quotePrefix="1" applyBorder="1" applyProtection="1">
      <protection hidden="1"/>
    </xf>
    <xf numFmtId="0" fontId="0" fillId="0" borderId="36" xfId="0" applyBorder="1" applyProtection="1">
      <protection hidden="1"/>
    </xf>
    <xf numFmtId="0" fontId="28" fillId="0" borderId="37" xfId="0" applyFont="1" applyBorder="1" applyProtection="1">
      <protection hidden="1"/>
    </xf>
    <xf numFmtId="0" fontId="0" fillId="0" borderId="38" xfId="0" applyBorder="1" applyProtection="1">
      <protection hidden="1"/>
    </xf>
    <xf numFmtId="0" fontId="25" fillId="0" borderId="0" xfId="34" applyFont="1" applyBorder="1" applyAlignment="1" applyProtection="1">
      <protection hidden="1"/>
    </xf>
    <xf numFmtId="0" fontId="0" fillId="0" borderId="0" xfId="0" applyBorder="1" applyAlignment="1"/>
    <xf numFmtId="0" fontId="0" fillId="0" borderId="39" xfId="0" applyBorder="1" applyProtection="1">
      <protection hidden="1"/>
    </xf>
    <xf numFmtId="0" fontId="0" fillId="0" borderId="40" xfId="0" applyBorder="1" applyAlignment="1" applyProtection="1">
      <alignment horizontal="right"/>
      <protection hidden="1"/>
    </xf>
    <xf numFmtId="0" fontId="17" fillId="0" borderId="41" xfId="0" applyFont="1" applyBorder="1" applyProtection="1">
      <protection hidden="1"/>
    </xf>
    <xf numFmtId="0" fontId="0" fillId="0" borderId="42" xfId="0" applyBorder="1" applyProtection="1">
      <protection hidden="1"/>
    </xf>
    <xf numFmtId="0" fontId="0" fillId="25" borderId="43" xfId="0" applyFill="1" applyBorder="1" applyProtection="1">
      <protection hidden="1"/>
    </xf>
    <xf numFmtId="0" fontId="0" fillId="25" borderId="17" xfId="0" applyFill="1" applyBorder="1" applyProtection="1">
      <protection locked="0"/>
    </xf>
    <xf numFmtId="0" fontId="0" fillId="25" borderId="7" xfId="0" applyFill="1" applyBorder="1" applyProtection="1">
      <protection locked="0"/>
    </xf>
    <xf numFmtId="2" fontId="0" fillId="25" borderId="7" xfId="0" applyNumberFormat="1" applyFill="1" applyBorder="1" applyProtection="1">
      <protection locked="0"/>
    </xf>
    <xf numFmtId="2" fontId="0" fillId="0" borderId="7" xfId="0" applyNumberFormat="1" applyFill="1" applyBorder="1" applyProtection="1">
      <protection hidden="1"/>
    </xf>
    <xf numFmtId="166" fontId="0" fillId="25" borderId="14" xfId="0" applyNumberFormat="1" applyFill="1" applyBorder="1" applyProtection="1">
      <protection hidden="1"/>
    </xf>
    <xf numFmtId="166" fontId="0" fillId="0" borderId="0" xfId="0" applyNumberFormat="1" applyBorder="1" applyProtection="1">
      <protection locked="0"/>
    </xf>
    <xf numFmtId="0" fontId="0" fillId="0" borderId="44" xfId="0" applyBorder="1" applyProtection="1">
      <protection hidden="1"/>
    </xf>
    <xf numFmtId="0" fontId="0" fillId="0" borderId="45" xfId="0" applyBorder="1" applyProtection="1">
      <protection hidden="1"/>
    </xf>
    <xf numFmtId="165" fontId="0" fillId="25" borderId="46" xfId="0" applyNumberFormat="1" applyFill="1" applyBorder="1" applyProtection="1">
      <protection locked="0"/>
    </xf>
    <xf numFmtId="168" fontId="0" fillId="0" borderId="38" xfId="0" applyNumberFormat="1" applyBorder="1" applyProtection="1">
      <protection hidden="1"/>
    </xf>
    <xf numFmtId="0" fontId="1" fillId="0" borderId="0" xfId="42" applyNumberFormat="1" applyFont="1" applyProtection="1">
      <protection hidden="1"/>
    </xf>
    <xf numFmtId="166" fontId="0" fillId="0" borderId="0" xfId="0" applyNumberFormat="1" applyFill="1" applyBorder="1" applyProtection="1">
      <protection locked="0"/>
    </xf>
    <xf numFmtId="0" fontId="0" fillId="0" borderId="47" xfId="0" applyBorder="1" applyProtection="1">
      <protection hidden="1"/>
    </xf>
    <xf numFmtId="0" fontId="0" fillId="0" borderId="48" xfId="0" applyBorder="1" applyProtection="1">
      <protection hidden="1"/>
    </xf>
    <xf numFmtId="165" fontId="0" fillId="25" borderId="25" xfId="0" applyNumberFormat="1" applyFill="1" applyBorder="1" applyProtection="1">
      <protection locked="0"/>
    </xf>
    <xf numFmtId="0" fontId="0" fillId="0" borderId="49" xfId="0" applyBorder="1" applyProtection="1">
      <protection hidden="1"/>
    </xf>
    <xf numFmtId="0" fontId="0" fillId="0" borderId="50" xfId="0" applyBorder="1" applyProtection="1">
      <protection hidden="1"/>
    </xf>
    <xf numFmtId="0" fontId="0" fillId="25" borderId="31" xfId="0" applyFill="1" applyBorder="1" applyProtection="1">
      <protection locked="0"/>
    </xf>
    <xf numFmtId="0" fontId="0" fillId="0" borderId="51" xfId="0" applyFill="1" applyBorder="1" applyProtection="1">
      <protection hidden="1"/>
    </xf>
    <xf numFmtId="166" fontId="0" fillId="0" borderId="33" xfId="0" applyNumberFormat="1" applyFill="1" applyBorder="1" applyProtection="1">
      <protection hidden="1"/>
    </xf>
    <xf numFmtId="167" fontId="0" fillId="0" borderId="33" xfId="0" applyNumberFormat="1" applyFill="1" applyBorder="1" applyProtection="1">
      <protection hidden="1"/>
    </xf>
    <xf numFmtId="166" fontId="0" fillId="25" borderId="52" xfId="0" applyNumberFormat="1" applyFill="1" applyBorder="1" applyProtection="1">
      <protection hidden="1"/>
    </xf>
    <xf numFmtId="166" fontId="0" fillId="0" borderId="0" xfId="0" applyNumberFormat="1" applyFill="1" applyBorder="1" applyProtection="1">
      <protection hidden="1"/>
    </xf>
    <xf numFmtId="0" fontId="0" fillId="0" borderId="53" xfId="0" applyBorder="1" applyProtection="1">
      <protection hidden="1"/>
    </xf>
    <xf numFmtId="166" fontId="28" fillId="0" borderId="0" xfId="0" applyNumberFormat="1" applyFont="1" applyBorder="1" applyProtection="1">
      <protection hidden="1"/>
    </xf>
    <xf numFmtId="2" fontId="0" fillId="0" borderId="51" xfId="0" applyNumberFormat="1" applyBorder="1" applyProtection="1">
      <protection hidden="1"/>
    </xf>
    <xf numFmtId="2" fontId="0" fillId="0" borderId="33" xfId="0" applyNumberFormat="1" applyBorder="1" applyProtection="1">
      <protection hidden="1"/>
    </xf>
    <xf numFmtId="166" fontId="0" fillId="0" borderId="54" xfId="0" applyNumberFormat="1" applyFill="1" applyBorder="1" applyProtection="1">
      <protection hidden="1"/>
    </xf>
    <xf numFmtId="49" fontId="0" fillId="0" borderId="0" xfId="0" applyNumberFormat="1" applyBorder="1" applyProtection="1">
      <protection hidden="1"/>
    </xf>
    <xf numFmtId="167" fontId="0" fillId="0" borderId="0" xfId="0" applyNumberFormat="1" applyBorder="1" applyProtection="1">
      <protection hidden="1"/>
    </xf>
    <xf numFmtId="2" fontId="0" fillId="0" borderId="0" xfId="0" applyNumberFormat="1" applyBorder="1" applyProtection="1">
      <protection hidden="1"/>
    </xf>
    <xf numFmtId="0" fontId="0" fillId="0" borderId="0" xfId="0" applyNumberFormat="1" applyFill="1" applyBorder="1" applyProtection="1">
      <protection hidden="1"/>
    </xf>
    <xf numFmtId="166" fontId="0" fillId="0" borderId="0" xfId="0" applyNumberFormat="1" applyBorder="1" applyProtection="1">
      <protection hidden="1"/>
    </xf>
    <xf numFmtId="168" fontId="0" fillId="0" borderId="0" xfId="0" applyNumberFormat="1" applyBorder="1" applyProtection="1">
      <protection hidden="1"/>
    </xf>
    <xf numFmtId="9" fontId="1" fillId="0" borderId="0" xfId="42" applyFont="1" applyBorder="1" applyProtection="1">
      <protection hidden="1"/>
    </xf>
    <xf numFmtId="16" fontId="0" fillId="0" borderId="0" xfId="0" applyNumberFormat="1" applyBorder="1" applyProtection="1">
      <protection hidden="1"/>
    </xf>
    <xf numFmtId="10" fontId="0" fillId="0" borderId="0" xfId="0" applyNumberFormat="1" applyBorder="1" applyProtection="1">
      <protection hidden="1"/>
    </xf>
    <xf numFmtId="0" fontId="28" fillId="0" borderId="55" xfId="0" applyFont="1" applyBorder="1" applyProtection="1">
      <protection hidden="1"/>
    </xf>
    <xf numFmtId="0" fontId="0" fillId="0" borderId="56" xfId="0" applyBorder="1" applyProtection="1">
      <protection hidden="1"/>
    </xf>
    <xf numFmtId="0" fontId="0" fillId="0" borderId="57" xfId="0" applyBorder="1" applyProtection="1">
      <protection hidden="1"/>
    </xf>
    <xf numFmtId="0" fontId="37" fillId="0" borderId="22" xfId="0" applyFont="1" applyBorder="1" applyProtection="1">
      <protection hidden="1"/>
    </xf>
    <xf numFmtId="0" fontId="0" fillId="0" borderId="22" xfId="0" applyBorder="1" applyProtection="1">
      <protection hidden="1"/>
    </xf>
    <xf numFmtId="0" fontId="28" fillId="0" borderId="0" xfId="0" applyFont="1" applyFill="1" applyBorder="1" applyProtection="1">
      <protection hidden="1"/>
    </xf>
    <xf numFmtId="0" fontId="28" fillId="0" borderId="22" xfId="0" applyNumberFormat="1" applyFont="1" applyBorder="1" applyProtection="1">
      <protection locked="0"/>
    </xf>
    <xf numFmtId="0" fontId="28" fillId="0" borderId="22" xfId="0" applyNumberFormat="1" applyFont="1" applyFill="1" applyBorder="1" applyProtection="1">
      <protection locked="0"/>
    </xf>
    <xf numFmtId="166" fontId="0" fillId="0" borderId="22" xfId="0" applyNumberFormat="1" applyBorder="1" applyProtection="1">
      <protection locked="0"/>
    </xf>
    <xf numFmtId="0" fontId="0" fillId="0" borderId="22" xfId="0" applyFill="1" applyBorder="1" applyProtection="1">
      <protection hidden="1"/>
    </xf>
    <xf numFmtId="167" fontId="0" fillId="0" borderId="0" xfId="0" applyNumberFormat="1" applyFill="1" applyBorder="1" applyProtection="1">
      <protection hidden="1"/>
    </xf>
    <xf numFmtId="165" fontId="0" fillId="0" borderId="0" xfId="0" applyNumberFormat="1" applyFill="1" applyBorder="1" applyProtection="1">
      <protection hidden="1"/>
    </xf>
    <xf numFmtId="166" fontId="0" fillId="0" borderId="0" xfId="0" applyNumberFormat="1" applyProtection="1">
      <protection hidden="1"/>
    </xf>
    <xf numFmtId="0" fontId="0" fillId="26" borderId="7" xfId="0" applyFill="1" applyBorder="1" applyProtection="1">
      <protection hidden="1"/>
    </xf>
    <xf numFmtId="0" fontId="1" fillId="0" borderId="0" xfId="0" applyFont="1" applyProtection="1">
      <protection hidden="1"/>
    </xf>
    <xf numFmtId="0" fontId="38" fillId="0" borderId="0" xfId="0" applyFont="1" applyBorder="1" applyAlignment="1"/>
    <xf numFmtId="0" fontId="0" fillId="0" borderId="0" xfId="0" applyBorder="1" applyAlignment="1">
      <alignment horizontal="center"/>
    </xf>
    <xf numFmtId="0" fontId="26" fillId="0" borderId="0" xfId="0" applyFont="1" applyBorder="1" applyAlignment="1"/>
    <xf numFmtId="0" fontId="0" fillId="0" borderId="0" xfId="0" applyBorder="1" applyAlignment="1">
      <alignment wrapText="1"/>
    </xf>
    <xf numFmtId="0" fontId="24" fillId="0" borderId="0" xfId="0" applyFont="1" applyBorder="1" applyAlignment="1">
      <alignment horizontal="left"/>
    </xf>
    <xf numFmtId="0" fontId="0" fillId="0" borderId="0" xfId="0" applyBorder="1" applyAlignment="1">
      <alignment vertical="top" wrapText="1"/>
    </xf>
    <xf numFmtId="0" fontId="1" fillId="0" borderId="0" xfId="0" applyFont="1" applyBorder="1" applyAlignment="1">
      <alignment horizontal="center"/>
    </xf>
    <xf numFmtId="0" fontId="1" fillId="0" borderId="0" xfId="0" applyFont="1" applyBorder="1" applyAlignment="1"/>
    <xf numFmtId="0" fontId="39" fillId="0" borderId="0" xfId="0" applyFont="1" applyBorder="1" applyAlignment="1">
      <alignment horizontal="left"/>
    </xf>
    <xf numFmtId="0" fontId="1" fillId="0" borderId="0" xfId="0" applyFont="1" applyBorder="1" applyAlignment="1">
      <alignment vertical="top"/>
    </xf>
    <xf numFmtId="49" fontId="1" fillId="0" borderId="0" xfId="0" applyNumberFormat="1" applyFont="1" applyBorder="1" applyAlignment="1"/>
    <xf numFmtId="0" fontId="40" fillId="0" borderId="0" xfId="35" applyFont="1" applyBorder="1" applyAlignment="1" applyProtection="1"/>
    <xf numFmtId="0" fontId="24" fillId="0" borderId="0" xfId="0" applyFont="1" applyBorder="1" applyAlignment="1"/>
    <xf numFmtId="0" fontId="41" fillId="0" borderId="0" xfId="0" applyFont="1" applyBorder="1" applyAlignment="1"/>
    <xf numFmtId="0" fontId="41" fillId="0" borderId="0" xfId="0" applyFont="1" applyBorder="1" applyAlignment="1">
      <alignment horizontal="center"/>
    </xf>
    <xf numFmtId="0" fontId="24" fillId="0" borderId="0" xfId="0" applyFont="1" applyBorder="1" applyAlignment="1">
      <alignment horizontal="center"/>
    </xf>
    <xf numFmtId="0" fontId="42" fillId="0" borderId="0" xfId="0" applyFont="1" applyAlignment="1" applyProtection="1">
      <alignment horizontal="center" vertical="top" wrapText="1"/>
      <protection hidden="1"/>
    </xf>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0" xfId="0" applyProtection="1">
      <protection locked="0"/>
    </xf>
    <xf numFmtId="0" fontId="0" fillId="0" borderId="37" xfId="0" applyBorder="1" applyProtection="1">
      <protection locked="0"/>
    </xf>
    <xf numFmtId="0" fontId="0" fillId="0" borderId="38" xfId="0" applyBorder="1" applyProtection="1">
      <protection locked="0"/>
    </xf>
    <xf numFmtId="0" fontId="0" fillId="0" borderId="38" xfId="0" applyBorder="1" applyAlignment="1" applyProtection="1">
      <alignment vertical="top" wrapText="1"/>
      <protection locked="0"/>
    </xf>
    <xf numFmtId="0" fontId="0" fillId="0" borderId="0" xfId="0" applyAlignment="1" applyProtection="1">
      <alignment horizontal="left"/>
      <protection locked="0"/>
    </xf>
    <xf numFmtId="0" fontId="0" fillId="0" borderId="38" xfId="0" applyBorder="1" applyAlignment="1">
      <alignment horizontal="center"/>
    </xf>
    <xf numFmtId="0" fontId="46" fillId="0" borderId="38" xfId="0" applyFont="1" applyBorder="1" applyAlignment="1" applyProtection="1">
      <alignment vertical="top" wrapText="1"/>
      <protection locked="0"/>
    </xf>
    <xf numFmtId="0" fontId="0" fillId="0" borderId="55" xfId="0" applyBorder="1" applyProtection="1">
      <protection locked="0"/>
    </xf>
    <xf numFmtId="0" fontId="46" fillId="0" borderId="57" xfId="0" applyFont="1" applyBorder="1" applyAlignment="1" applyProtection="1">
      <alignment vertical="top" wrapText="1"/>
      <protection locked="0"/>
    </xf>
    <xf numFmtId="0" fontId="48" fillId="0" borderId="0" xfId="0" applyFont="1"/>
    <xf numFmtId="0" fontId="46" fillId="0" borderId="0" xfId="0" applyFont="1" applyAlignment="1" applyProtection="1">
      <alignment vertical="top" wrapText="1"/>
      <protection locked="0"/>
    </xf>
    <xf numFmtId="0" fontId="46" fillId="0" borderId="56" xfId="0" applyFont="1" applyBorder="1" applyAlignment="1" applyProtection="1">
      <alignment vertical="top" wrapText="1"/>
      <protection locked="0"/>
    </xf>
    <xf numFmtId="0" fontId="44" fillId="27" borderId="54" xfId="0" applyFont="1" applyFill="1" applyBorder="1" applyAlignment="1">
      <alignment horizontal="center"/>
    </xf>
    <xf numFmtId="0" fontId="0" fillId="0" borderId="53" xfId="0" applyBorder="1"/>
    <xf numFmtId="0" fontId="0" fillId="0" borderId="60" xfId="0" applyBorder="1"/>
    <xf numFmtId="0" fontId="12" fillId="0" borderId="37" xfId="34" applyBorder="1" applyAlignment="1" applyProtection="1">
      <protection locked="0"/>
    </xf>
    <xf numFmtId="0" fontId="12" fillId="0" borderId="0" xfId="34" applyAlignment="1" applyProtection="1"/>
    <xf numFmtId="0" fontId="45" fillId="27" borderId="51" xfId="0" quotePrefix="1" applyFont="1" applyFill="1" applyBorder="1" applyAlignment="1">
      <alignment horizontal="center"/>
    </xf>
    <xf numFmtId="0" fontId="0" fillId="27" borderId="33" xfId="0" applyFill="1" applyBorder="1"/>
    <xf numFmtId="0" fontId="0" fillId="27" borderId="52" xfId="0" applyFill="1" applyBorder="1"/>
    <xf numFmtId="0" fontId="17" fillId="0" borderId="0" xfId="0" applyFont="1" applyAlignment="1" applyProtection="1">
      <alignment vertical="top" wrapText="1"/>
      <protection locked="0"/>
    </xf>
    <xf numFmtId="0" fontId="0" fillId="0" borderId="0" xfId="0" applyAlignment="1" applyProtection="1">
      <alignment vertical="top" wrapText="1"/>
      <protection locked="0"/>
    </xf>
    <xf numFmtId="0" fontId="0" fillId="0" borderId="0" xfId="0" applyAlignment="1" applyProtection="1">
      <alignment horizontal="left" vertical="top" wrapText="1"/>
      <protection locked="0"/>
    </xf>
    <xf numFmtId="0" fontId="26" fillId="0" borderId="0" xfId="0" applyFont="1" applyAlignment="1">
      <alignment horizontal="left"/>
    </xf>
    <xf numFmtId="0" fontId="0" fillId="0" borderId="0" xfId="0" applyAlignment="1">
      <alignment horizontal="left"/>
    </xf>
    <xf numFmtId="0" fontId="0" fillId="0" borderId="28" xfId="0" applyFill="1" applyBorder="1" applyAlignment="1" applyProtection="1">
      <alignment horizontal="center"/>
      <protection hidden="1"/>
    </xf>
    <xf numFmtId="0" fontId="0" fillId="0" borderId="58" xfId="0" applyFill="1" applyBorder="1" applyAlignment="1" applyProtection="1">
      <alignment horizontal="center"/>
      <protection hidden="1"/>
    </xf>
    <xf numFmtId="0" fontId="0" fillId="0" borderId="59" xfId="0" applyFill="1" applyBorder="1" applyAlignment="1" applyProtection="1">
      <alignment horizontal="center"/>
      <protection hidden="1"/>
    </xf>
    <xf numFmtId="0" fontId="0" fillId="0" borderId="10" xfId="0" applyBorder="1" applyAlignment="1" applyProtection="1">
      <alignment horizontal="center"/>
      <protection hidden="1"/>
    </xf>
    <xf numFmtId="0" fontId="0" fillId="0" borderId="29" xfId="0" applyBorder="1" applyAlignment="1" applyProtection="1">
      <alignment horizontal="center"/>
      <protection hidden="1"/>
    </xf>
    <xf numFmtId="164" fontId="0" fillId="0" borderId="11" xfId="0" applyNumberFormat="1" applyFill="1" applyBorder="1" applyAlignment="1" applyProtection="1">
      <alignment horizontal="right"/>
      <protection hidden="1"/>
    </xf>
    <xf numFmtId="164" fontId="0" fillId="0" borderId="48" xfId="0" applyNumberFormat="1" applyFill="1" applyBorder="1" applyAlignment="1" applyProtection="1">
      <alignment horizontal="right"/>
      <protection hidden="1"/>
    </xf>
    <xf numFmtId="164" fontId="0" fillId="0" borderId="26" xfId="0" applyNumberFormat="1" applyFill="1" applyBorder="1" applyAlignment="1" applyProtection="1">
      <alignment horizontal="right"/>
      <protection hidden="1"/>
    </xf>
    <xf numFmtId="169" fontId="0" fillId="0" borderId="28" xfId="0" applyNumberFormat="1" applyBorder="1" applyAlignment="1" applyProtection="1">
      <alignment horizontal="center"/>
      <protection hidden="1"/>
    </xf>
    <xf numFmtId="169" fontId="0" fillId="0" borderId="59" xfId="0" applyNumberFormat="1" applyBorder="1" applyAlignment="1" applyProtection="1">
      <alignment horizontal="center"/>
      <protection hidden="1"/>
    </xf>
    <xf numFmtId="0" fontId="0" fillId="0" borderId="54" xfId="0" applyFill="1" applyBorder="1" applyAlignment="1" applyProtection="1">
      <alignment horizontal="center"/>
      <protection hidden="1"/>
    </xf>
    <xf numFmtId="0" fontId="0" fillId="0" borderId="53" xfId="0" applyFill="1" applyBorder="1" applyAlignment="1" applyProtection="1">
      <alignment horizontal="center"/>
      <protection hidden="1"/>
    </xf>
    <xf numFmtId="0" fontId="0" fillId="0" borderId="60" xfId="0" applyFill="1" applyBorder="1" applyAlignment="1" applyProtection="1">
      <alignment horizontal="center"/>
      <protection hidden="1"/>
    </xf>
    <xf numFmtId="0" fontId="0" fillId="0" borderId="10" xfId="0" applyFill="1" applyBorder="1" applyAlignment="1" applyProtection="1">
      <alignment horizontal="center"/>
      <protection hidden="1"/>
    </xf>
    <xf numFmtId="0" fontId="0" fillId="0" borderId="29" xfId="0" applyFill="1" applyBorder="1" applyAlignment="1" applyProtection="1">
      <alignment horizontal="center"/>
      <protection hidden="1"/>
    </xf>
    <xf numFmtId="0" fontId="12" fillId="0" borderId="0" xfId="34" applyAlignment="1" applyProtection="1">
      <alignment horizontal="center" vertical="top" wrapText="1"/>
      <protection hidden="1"/>
    </xf>
    <xf numFmtId="0" fontId="42" fillId="0" borderId="0" xfId="0" applyFont="1" applyAlignment="1" applyProtection="1">
      <alignment horizontal="left" vertical="top" wrapText="1"/>
      <protection hidden="1"/>
    </xf>
    <xf numFmtId="164" fontId="0" fillId="0" borderId="33" xfId="0" applyNumberFormat="1" applyBorder="1" applyAlignment="1" applyProtection="1">
      <protection hidden="1"/>
    </xf>
    <xf numFmtId="164" fontId="23" fillId="0" borderId="0" xfId="0" applyNumberFormat="1" applyFont="1" applyBorder="1" applyAlignment="1" applyProtection="1">
      <alignment horizontal="center"/>
      <protection hidden="1"/>
    </xf>
    <xf numFmtId="0" fontId="0" fillId="0" borderId="11" xfId="0" applyNumberFormat="1" applyBorder="1" applyAlignment="1" applyProtection="1">
      <protection hidden="1"/>
    </xf>
    <xf numFmtId="0" fontId="0" fillId="0" borderId="48" xfId="0" applyNumberFormat="1" applyBorder="1" applyAlignment="1" applyProtection="1">
      <protection hidden="1"/>
    </xf>
    <xf numFmtId="0" fontId="0" fillId="0" borderId="26" xfId="0" applyNumberFormat="1" applyBorder="1" applyAlignment="1" applyProtection="1">
      <protection hidden="1"/>
    </xf>
    <xf numFmtId="0" fontId="0" fillId="0" borderId="0" xfId="0" applyBorder="1" applyAlignment="1">
      <alignment vertical="top" wrapText="1"/>
    </xf>
    <xf numFmtId="0" fontId="0" fillId="0" borderId="0" xfId="0" applyBorder="1" applyAlignment="1">
      <alignment wrapText="1"/>
    </xf>
    <xf numFmtId="0" fontId="42" fillId="0" borderId="0" xfId="0" applyFont="1" applyBorder="1" applyAlignment="1">
      <alignment vertical="top" wrapText="1"/>
    </xf>
    <xf numFmtId="0" fontId="43" fillId="0" borderId="0" xfId="0" applyFont="1" applyAlignment="1">
      <alignment vertical="top" wrapText="1"/>
    </xf>
    <xf numFmtId="0" fontId="12" fillId="0" borderId="0" xfId="34" applyBorder="1" applyAlignment="1" applyProtection="1">
      <alignment horizontal="center" vertical="top" wrapText="1"/>
    </xf>
    <xf numFmtId="0" fontId="17" fillId="0" borderId="0" xfId="0" applyFont="1" applyBorder="1" applyAlignment="1">
      <alignment vertical="top" wrapText="1"/>
    </xf>
    <xf numFmtId="0" fontId="1" fillId="0" borderId="0" xfId="0" applyFont="1" applyBorder="1" applyAlignment="1">
      <alignment vertical="top"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_TykohOnlineResources" xfId="35" xr:uid="{00000000-0005-0000-0000-000022000000}"/>
    <cellStyle name="Input" xfId="36" builtinId="20" customBuiltin="1"/>
    <cellStyle name="Linked Cell" xfId="37" builtinId="24" customBuiltin="1"/>
    <cellStyle name="LongDate" xfId="38" xr:uid="{00000000-0005-0000-0000-000025000000}"/>
    <cellStyle name="Neutral" xfId="39" builtinId="28" customBuiltin="1"/>
    <cellStyle name="Normal" xfId="0" builtinId="0"/>
    <cellStyle name="Note" xfId="40" builtinId="10" customBuiltin="1"/>
    <cellStyle name="Output" xfId="41" builtinId="21" customBuiltin="1"/>
    <cellStyle name="Percent" xfId="42" builtinId="5"/>
    <cellStyle name="Style 1" xfId="43" xr:uid="{00000000-0005-0000-0000-00002B000000}"/>
    <cellStyle name="Title" xfId="44" builtinId="15" customBuiltin="1"/>
    <cellStyle name="Total" xfId="45" builtinId="25" customBuiltin="1"/>
    <cellStyle name="Warning Text" xfId="46" builtinId="11" customBuiltin="1"/>
  </cellStyles>
  <dxfs count="3">
    <dxf>
      <fill>
        <patternFill patternType="none">
          <bgColor indexed="65"/>
        </patternFill>
      </fill>
    </dxf>
    <dxf>
      <font>
        <b/>
        <i val="0"/>
        <condense val="0"/>
        <extend val="0"/>
        <color indexed="9"/>
      </font>
      <fill>
        <patternFill>
          <bgColor indexed="10"/>
        </patternFill>
      </fill>
    </dxf>
    <dxf>
      <font>
        <b val="0"/>
        <i val="0"/>
        <condense val="0"/>
        <extend val="0"/>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a:ea typeface="Arial"/>
                <a:cs typeface="Arial"/>
              </a:defRPr>
            </a:pPr>
            <a:r>
              <a:rPr lang="en-AU"/>
              <a:t> as a function of</a:t>
            </a:r>
          </a:p>
        </c:rich>
      </c:tx>
      <c:layout>
        <c:manualLayout>
          <c:xMode val="edge"/>
          <c:yMode val="edge"/>
          <c:x val="0.36483539557555306"/>
          <c:y val="2.8409090909090908E-2"/>
        </c:manualLayout>
      </c:layout>
      <c:overlay val="0"/>
      <c:spPr>
        <a:noFill/>
        <a:ln w="25400">
          <a:noFill/>
        </a:ln>
      </c:spPr>
    </c:title>
    <c:autoTitleDeleted val="0"/>
    <c:plotArea>
      <c:layout>
        <c:manualLayout>
          <c:layoutTarget val="inner"/>
          <c:xMode val="edge"/>
          <c:yMode val="edge"/>
          <c:x val="7.6923076923076927E-2"/>
          <c:y val="0.11931818181818182"/>
          <c:w val="0.9054945054945055"/>
          <c:h val="0.53125"/>
        </c:manualLayout>
      </c:layout>
      <c:scatterChart>
        <c:scatterStyle val="smoothMarker"/>
        <c:varyColors val="0"/>
        <c:ser>
          <c:idx val="0"/>
          <c:order val="0"/>
          <c:tx>
            <c:strRef>
              <c:f>main!$B$39</c:f>
              <c:strCache>
                <c:ptCount val="1"/>
                <c:pt idx="0">
                  <c:v>Call [1] ,strike = 100, expiry = 1</c:v>
                </c:pt>
              </c:strCache>
            </c:strRef>
          </c:tx>
          <c:spPr>
            <a:ln w="38100">
              <a:solidFill>
                <a:srgbClr val="000080"/>
              </a:solidFill>
              <a:prstDash val="solid"/>
            </a:ln>
          </c:spPr>
          <c:marker>
            <c:symbol val="none"/>
          </c:marker>
          <c:xVal>
            <c:numRef>
              <c:f>Sheet1!$A$3:$A$47</c:f>
              <c:numCache>
                <c:formatCode>General</c:formatCode>
                <c:ptCount val="45"/>
                <c:pt idx="0">
                  <c:v>39.999999999999922</c:v>
                </c:pt>
                <c:pt idx="1">
                  <c:v>42.727272727272648</c:v>
                </c:pt>
                <c:pt idx="2">
                  <c:v>45.454545454545375</c:v>
                </c:pt>
                <c:pt idx="3">
                  <c:v>48.181818181818102</c:v>
                </c:pt>
                <c:pt idx="4">
                  <c:v>50.909090909090828</c:v>
                </c:pt>
                <c:pt idx="5">
                  <c:v>53.636363636363555</c:v>
                </c:pt>
                <c:pt idx="6">
                  <c:v>56.363636363636282</c:v>
                </c:pt>
                <c:pt idx="7">
                  <c:v>59.090909090909008</c:v>
                </c:pt>
                <c:pt idx="8">
                  <c:v>61.818181818181735</c:v>
                </c:pt>
                <c:pt idx="9">
                  <c:v>64.545454545454461</c:v>
                </c:pt>
                <c:pt idx="10">
                  <c:v>67.272727272727195</c:v>
                </c:pt>
                <c:pt idx="11">
                  <c:v>69.999999999999929</c:v>
                </c:pt>
                <c:pt idx="12">
                  <c:v>72.727272727272663</c:v>
                </c:pt>
                <c:pt idx="13">
                  <c:v>75.454545454545396</c:v>
                </c:pt>
                <c:pt idx="14">
                  <c:v>78.18181818181813</c:v>
                </c:pt>
                <c:pt idx="15">
                  <c:v>80.909090909090864</c:v>
                </c:pt>
                <c:pt idx="16">
                  <c:v>83.636363636363598</c:v>
                </c:pt>
                <c:pt idx="17">
                  <c:v>86.363636363636331</c:v>
                </c:pt>
                <c:pt idx="18">
                  <c:v>89.090909090909065</c:v>
                </c:pt>
                <c:pt idx="19">
                  <c:v>91.818181818181799</c:v>
                </c:pt>
                <c:pt idx="20">
                  <c:v>94.545454545454533</c:v>
                </c:pt>
                <c:pt idx="21">
                  <c:v>97.272727272727266</c:v>
                </c:pt>
                <c:pt idx="22">
                  <c:v>100</c:v>
                </c:pt>
                <c:pt idx="23">
                  <c:v>102.72727272727273</c:v>
                </c:pt>
                <c:pt idx="24">
                  <c:v>105.45454545454547</c:v>
                </c:pt>
                <c:pt idx="25">
                  <c:v>108.1818181818182</c:v>
                </c:pt>
                <c:pt idx="26">
                  <c:v>110.90909090909093</c:v>
                </c:pt>
                <c:pt idx="27">
                  <c:v>113.63636363636367</c:v>
                </c:pt>
                <c:pt idx="28">
                  <c:v>116.3636363636364</c:v>
                </c:pt>
                <c:pt idx="29">
                  <c:v>119.09090909090914</c:v>
                </c:pt>
                <c:pt idx="30">
                  <c:v>121.81818181818187</c:v>
                </c:pt>
                <c:pt idx="31">
                  <c:v>124.5454545454546</c:v>
                </c:pt>
                <c:pt idx="32">
                  <c:v>127.27272727272734</c:v>
                </c:pt>
                <c:pt idx="33">
                  <c:v>130.00000000000006</c:v>
                </c:pt>
                <c:pt idx="34">
                  <c:v>132.72727272727278</c:v>
                </c:pt>
                <c:pt idx="35">
                  <c:v>135.4545454545455</c:v>
                </c:pt>
                <c:pt idx="36">
                  <c:v>138.18181818181822</c:v>
                </c:pt>
                <c:pt idx="37">
                  <c:v>140.90909090909093</c:v>
                </c:pt>
                <c:pt idx="38">
                  <c:v>143.63636363636365</c:v>
                </c:pt>
                <c:pt idx="39">
                  <c:v>146.36363636363637</c:v>
                </c:pt>
                <c:pt idx="40">
                  <c:v>149.09090909090909</c:v>
                </c:pt>
                <c:pt idx="41">
                  <c:v>151.81818181818181</c:v>
                </c:pt>
                <c:pt idx="42">
                  <c:v>154.54545454545453</c:v>
                </c:pt>
                <c:pt idx="43">
                  <c:v>157.27272727272725</c:v>
                </c:pt>
                <c:pt idx="44">
                  <c:v>159.99999999999997</c:v>
                </c:pt>
              </c:numCache>
            </c:numRef>
          </c:xVal>
          <c:yVal>
            <c:numRef>
              <c:f>Sheet1!$B$3:$B$47</c:f>
              <c:numCache>
                <c:formatCode>General</c:formatCode>
                <c:ptCount val="45"/>
                <c:pt idx="0">
                  <c:v>5.9193968888194559E-3</c:v>
                </c:pt>
                <c:pt idx="1">
                  <c:v>1.316090023878505E-2</c:v>
                </c:pt>
                <c:pt idx="2">
                  <c:v>2.6802243589888253E-2</c:v>
                </c:pt>
                <c:pt idx="3">
                  <c:v>5.0641546769823742E-2</c:v>
                </c:pt>
                <c:pt idx="4">
                  <c:v>8.9707879785910882E-2</c:v>
                </c:pt>
                <c:pt idx="5">
                  <c:v>0.15027197802017245</c:v>
                </c:pt>
                <c:pt idx="6">
                  <c:v>0.23974846075125011</c:v>
                </c:pt>
                <c:pt idx="7">
                  <c:v>0.36649701453403738</c:v>
                </c:pt>
                <c:pt idx="8">
                  <c:v>0.53954302706067159</c:v>
                </c:pt>
                <c:pt idx="9">
                  <c:v>0.76824624006081343</c:v>
                </c:pt>
                <c:pt idx="10">
                  <c:v>1.0619487781474195</c:v>
                </c:pt>
                <c:pt idx="11">
                  <c:v>1.4296321410530286</c:v>
                </c:pt>
                <c:pt idx="12">
                  <c:v>1.8796077440078047</c:v>
                </c:pt>
                <c:pt idx="13">
                  <c:v>2.4192588228820444</c:v>
                </c:pt>
                <c:pt idx="14">
                  <c:v>3.0548442910390889</c:v>
                </c:pt>
                <c:pt idx="15">
                  <c:v>3.7913684236512744</c:v>
                </c:pt>
                <c:pt idx="16">
                  <c:v>4.6325146672909945</c:v>
                </c:pt>
                <c:pt idx="17">
                  <c:v>5.5806377131699954</c:v>
                </c:pt>
                <c:pt idx="18">
                  <c:v>6.6368052615319009</c:v>
                </c:pt>
                <c:pt idx="19">
                  <c:v>7.8008795015650136</c:v>
                </c:pt>
                <c:pt idx="20">
                  <c:v>9.0716280005167249</c:v>
                </c:pt>
                <c:pt idx="21">
                  <c:v>10.446854167923902</c:v>
                </c:pt>
                <c:pt idx="22">
                  <c:v>11.923538474048499</c:v>
                </c:pt>
                <c:pt idx="23">
                  <c:v>13.49798292644482</c:v>
                </c:pt>
                <c:pt idx="24">
                  <c:v>15.16595276041523</c:v>
                </c:pt>
                <c:pt idx="25">
                  <c:v>16.922810740398063</c:v>
                </c:pt>
                <c:pt idx="26">
                  <c:v>18.763640806250145</c:v>
                </c:pt>
                <c:pt idx="27">
                  <c:v>20.683358974238857</c:v>
                </c:pt>
                <c:pt idx="28">
                  <c:v>22.676810389988184</c:v>
                </c:pt>
                <c:pt idx="29">
                  <c:v>24.738852223933037</c:v>
                </c:pt>
                <c:pt idx="30">
                  <c:v>26.864422708165165</c:v>
                </c:pt>
                <c:pt idx="31">
                  <c:v>29.048597055215723</c:v>
                </c:pt>
                <c:pt idx="32">
                  <c:v>31.286631297437282</c:v>
                </c:pt>
                <c:pt idx="33">
                  <c:v>33.573995264932293</c:v>
                </c:pt>
                <c:pt idx="34">
                  <c:v>35.906396004551212</c:v>
                </c:pt>
                <c:pt idx="35">
                  <c:v>38.279792954494951</c:v>
                </c:pt>
                <c:pt idx="36">
                  <c:v>40.690406147934837</c:v>
                </c:pt>
                <c:pt idx="37">
                  <c:v>43.134718641208153</c:v>
                </c:pt>
                <c:pt idx="38">
                  <c:v>45.609474260947053</c:v>
                </c:pt>
                <c:pt idx="39">
                  <c:v>48.11167165052079</c:v>
                </c:pt>
                <c:pt idx="40">
                  <c:v>50.638555477483976</c:v>
                </c:pt>
                <c:pt idx="41">
                  <c:v>53.187605546247042</c:v>
                </c:pt>
                <c:pt idx="42">
                  <c:v>55.756524448058116</c:v>
                </c:pt>
                <c:pt idx="43">
                  <c:v>58.343224276318466</c:v>
                </c:pt>
                <c:pt idx="44">
                  <c:v>60.945812840832488</c:v>
                </c:pt>
              </c:numCache>
            </c:numRef>
          </c:yVal>
          <c:smooth val="1"/>
          <c:extLst>
            <c:ext xmlns:c16="http://schemas.microsoft.com/office/drawing/2014/chart" uri="{C3380CC4-5D6E-409C-BE32-E72D297353CC}">
              <c16:uniqueId val="{00000000-6EFA-4D3B-BE44-423A7F1F8BA9}"/>
            </c:ext>
          </c:extLst>
        </c:ser>
        <c:ser>
          <c:idx val="1"/>
          <c:order val="1"/>
          <c:tx>
            <c:strRef>
              <c:f>main!$B$40</c:f>
              <c:strCache>
                <c:ptCount val="1"/>
                <c:pt idx="0">
                  <c:v>n/a</c:v>
                </c:pt>
              </c:strCache>
            </c:strRef>
          </c:tx>
          <c:spPr>
            <a:ln w="38100">
              <a:solidFill>
                <a:srgbClr val="FF00FF"/>
              </a:solidFill>
              <a:prstDash val="solid"/>
            </a:ln>
          </c:spPr>
          <c:marker>
            <c:symbol val="none"/>
          </c:marker>
          <c:xVal>
            <c:numRef>
              <c:f>Sheet1!$D$3:$D$47</c:f>
              <c:numCache>
                <c:formatCode>General</c:formatCode>
                <c:ptCount val="45"/>
                <c:pt idx="0">
                  <c:v>39.999999999999922</c:v>
                </c:pt>
                <c:pt idx="1">
                  <c:v>39.999999999999922</c:v>
                </c:pt>
                <c:pt idx="2">
                  <c:v>39.999999999999922</c:v>
                </c:pt>
                <c:pt idx="3">
                  <c:v>39.999999999999922</c:v>
                </c:pt>
                <c:pt idx="4">
                  <c:v>39.999999999999922</c:v>
                </c:pt>
                <c:pt idx="5">
                  <c:v>39.999999999999922</c:v>
                </c:pt>
                <c:pt idx="6">
                  <c:v>39.999999999999922</c:v>
                </c:pt>
                <c:pt idx="7">
                  <c:v>39.999999999999922</c:v>
                </c:pt>
                <c:pt idx="8">
                  <c:v>39.999999999999922</c:v>
                </c:pt>
                <c:pt idx="9">
                  <c:v>39.999999999999922</c:v>
                </c:pt>
                <c:pt idx="10">
                  <c:v>39.999999999999922</c:v>
                </c:pt>
                <c:pt idx="11">
                  <c:v>39.999999999999922</c:v>
                </c:pt>
                <c:pt idx="12">
                  <c:v>39.999999999999922</c:v>
                </c:pt>
                <c:pt idx="13">
                  <c:v>39.999999999999922</c:v>
                </c:pt>
                <c:pt idx="14">
                  <c:v>39.999999999999922</c:v>
                </c:pt>
                <c:pt idx="15">
                  <c:v>39.999999999999922</c:v>
                </c:pt>
                <c:pt idx="16">
                  <c:v>39.999999999999922</c:v>
                </c:pt>
                <c:pt idx="17">
                  <c:v>39.999999999999922</c:v>
                </c:pt>
                <c:pt idx="18">
                  <c:v>39.999999999999922</c:v>
                </c:pt>
                <c:pt idx="19">
                  <c:v>39.999999999999922</c:v>
                </c:pt>
                <c:pt idx="20">
                  <c:v>39.999999999999922</c:v>
                </c:pt>
                <c:pt idx="21">
                  <c:v>39.999999999999922</c:v>
                </c:pt>
                <c:pt idx="22">
                  <c:v>39.999999999999922</c:v>
                </c:pt>
                <c:pt idx="23">
                  <c:v>39.999999999999922</c:v>
                </c:pt>
                <c:pt idx="24">
                  <c:v>39.999999999999922</c:v>
                </c:pt>
                <c:pt idx="25">
                  <c:v>39.999999999999922</c:v>
                </c:pt>
                <c:pt idx="26">
                  <c:v>39.999999999999922</c:v>
                </c:pt>
                <c:pt idx="27">
                  <c:v>39.999999999999922</c:v>
                </c:pt>
                <c:pt idx="28">
                  <c:v>39.999999999999922</c:v>
                </c:pt>
                <c:pt idx="29">
                  <c:v>39.999999999999922</c:v>
                </c:pt>
                <c:pt idx="30">
                  <c:v>39.999999999999922</c:v>
                </c:pt>
                <c:pt idx="31">
                  <c:v>39.999999999999922</c:v>
                </c:pt>
                <c:pt idx="32">
                  <c:v>39.999999999999922</c:v>
                </c:pt>
                <c:pt idx="33">
                  <c:v>39.999999999999922</c:v>
                </c:pt>
                <c:pt idx="34">
                  <c:v>39.999999999999922</c:v>
                </c:pt>
                <c:pt idx="35">
                  <c:v>39.999999999999922</c:v>
                </c:pt>
                <c:pt idx="36">
                  <c:v>39.999999999999922</c:v>
                </c:pt>
                <c:pt idx="37">
                  <c:v>39.999999999999922</c:v>
                </c:pt>
                <c:pt idx="38">
                  <c:v>39.999999999999922</c:v>
                </c:pt>
                <c:pt idx="39">
                  <c:v>39.999999999999922</c:v>
                </c:pt>
                <c:pt idx="40">
                  <c:v>39.999999999999922</c:v>
                </c:pt>
                <c:pt idx="41">
                  <c:v>39.999999999999922</c:v>
                </c:pt>
                <c:pt idx="42">
                  <c:v>39.999999999999922</c:v>
                </c:pt>
                <c:pt idx="43">
                  <c:v>39.999999999999922</c:v>
                </c:pt>
                <c:pt idx="44">
                  <c:v>39.999999999999922</c:v>
                </c:pt>
              </c:numCache>
            </c:numRef>
          </c:xVal>
          <c:yVal>
            <c:numRef>
              <c:f>Sheet1!$E$3:$E$47</c:f>
              <c:numCache>
                <c:formatCode>General</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yVal>
          <c:smooth val="1"/>
          <c:extLst>
            <c:ext xmlns:c16="http://schemas.microsoft.com/office/drawing/2014/chart" uri="{C3380CC4-5D6E-409C-BE32-E72D297353CC}">
              <c16:uniqueId val="{00000001-6EFA-4D3B-BE44-423A7F1F8BA9}"/>
            </c:ext>
          </c:extLst>
        </c:ser>
        <c:ser>
          <c:idx val="2"/>
          <c:order val="2"/>
          <c:tx>
            <c:strRef>
              <c:f>main!$B$41</c:f>
              <c:strCache>
                <c:ptCount val="1"/>
                <c:pt idx="0">
                  <c:v>n/a</c:v>
                </c:pt>
              </c:strCache>
            </c:strRef>
          </c:tx>
          <c:spPr>
            <a:ln w="25400">
              <a:solidFill>
                <a:srgbClr val="008000"/>
              </a:solidFill>
              <a:prstDash val="solid"/>
            </a:ln>
          </c:spPr>
          <c:marker>
            <c:symbol val="none"/>
          </c:marker>
          <c:xVal>
            <c:numRef>
              <c:f>Sheet1!$G$3:$G$47</c:f>
              <c:numCache>
                <c:formatCode>General</c:formatCode>
                <c:ptCount val="45"/>
                <c:pt idx="0">
                  <c:v>39.999999999999922</c:v>
                </c:pt>
                <c:pt idx="1">
                  <c:v>39.999999999999922</c:v>
                </c:pt>
                <c:pt idx="2">
                  <c:v>39.999999999999922</c:v>
                </c:pt>
                <c:pt idx="3">
                  <c:v>39.999999999999922</c:v>
                </c:pt>
                <c:pt idx="4">
                  <c:v>39.999999999999922</c:v>
                </c:pt>
                <c:pt idx="5">
                  <c:v>39.999999999999922</c:v>
                </c:pt>
                <c:pt idx="6">
                  <c:v>39.999999999999922</c:v>
                </c:pt>
                <c:pt idx="7">
                  <c:v>39.999999999999922</c:v>
                </c:pt>
                <c:pt idx="8">
                  <c:v>39.999999999999922</c:v>
                </c:pt>
                <c:pt idx="9">
                  <c:v>39.999999999999922</c:v>
                </c:pt>
                <c:pt idx="10">
                  <c:v>39.999999999999922</c:v>
                </c:pt>
                <c:pt idx="11">
                  <c:v>39.999999999999922</c:v>
                </c:pt>
                <c:pt idx="12">
                  <c:v>39.999999999999922</c:v>
                </c:pt>
                <c:pt idx="13">
                  <c:v>39.999999999999922</c:v>
                </c:pt>
                <c:pt idx="14">
                  <c:v>39.999999999999922</c:v>
                </c:pt>
                <c:pt idx="15">
                  <c:v>39.999999999999922</c:v>
                </c:pt>
                <c:pt idx="16">
                  <c:v>39.999999999999922</c:v>
                </c:pt>
                <c:pt idx="17">
                  <c:v>39.999999999999922</c:v>
                </c:pt>
                <c:pt idx="18">
                  <c:v>39.999999999999922</c:v>
                </c:pt>
                <c:pt idx="19">
                  <c:v>39.999999999999922</c:v>
                </c:pt>
                <c:pt idx="20">
                  <c:v>39.999999999999922</c:v>
                </c:pt>
                <c:pt idx="21">
                  <c:v>39.999999999999922</c:v>
                </c:pt>
                <c:pt idx="22">
                  <c:v>39.999999999999922</c:v>
                </c:pt>
                <c:pt idx="23">
                  <c:v>39.999999999999922</c:v>
                </c:pt>
                <c:pt idx="24">
                  <c:v>39.999999999999922</c:v>
                </c:pt>
                <c:pt idx="25">
                  <c:v>39.999999999999922</c:v>
                </c:pt>
                <c:pt idx="26">
                  <c:v>39.999999999999922</c:v>
                </c:pt>
                <c:pt idx="27">
                  <c:v>39.999999999999922</c:v>
                </c:pt>
                <c:pt idx="28">
                  <c:v>39.999999999999922</c:v>
                </c:pt>
                <c:pt idx="29">
                  <c:v>39.999999999999922</c:v>
                </c:pt>
                <c:pt idx="30">
                  <c:v>39.999999999999922</c:v>
                </c:pt>
                <c:pt idx="31">
                  <c:v>39.999999999999922</c:v>
                </c:pt>
                <c:pt idx="32">
                  <c:v>39.999999999999922</c:v>
                </c:pt>
                <c:pt idx="33">
                  <c:v>39.999999999999922</c:v>
                </c:pt>
                <c:pt idx="34">
                  <c:v>39.999999999999922</c:v>
                </c:pt>
                <c:pt idx="35">
                  <c:v>39.999999999999922</c:v>
                </c:pt>
                <c:pt idx="36">
                  <c:v>39.999999999999922</c:v>
                </c:pt>
                <c:pt idx="37">
                  <c:v>39.999999999999922</c:v>
                </c:pt>
                <c:pt idx="38">
                  <c:v>39.999999999999922</c:v>
                </c:pt>
                <c:pt idx="39">
                  <c:v>39.999999999999922</c:v>
                </c:pt>
                <c:pt idx="40">
                  <c:v>39.999999999999922</c:v>
                </c:pt>
                <c:pt idx="41">
                  <c:v>39.999999999999922</c:v>
                </c:pt>
                <c:pt idx="42">
                  <c:v>39.999999999999922</c:v>
                </c:pt>
                <c:pt idx="43">
                  <c:v>39.999999999999922</c:v>
                </c:pt>
                <c:pt idx="44">
                  <c:v>39.999999999999922</c:v>
                </c:pt>
              </c:numCache>
            </c:numRef>
          </c:xVal>
          <c:yVal>
            <c:numRef>
              <c:f>Sheet1!$H$3:$H$47</c:f>
              <c:numCache>
                <c:formatCode>General</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yVal>
          <c:smooth val="1"/>
          <c:extLst>
            <c:ext xmlns:c16="http://schemas.microsoft.com/office/drawing/2014/chart" uri="{C3380CC4-5D6E-409C-BE32-E72D297353CC}">
              <c16:uniqueId val="{00000002-6EFA-4D3B-BE44-423A7F1F8BA9}"/>
            </c:ext>
          </c:extLst>
        </c:ser>
        <c:ser>
          <c:idx val="3"/>
          <c:order val="3"/>
          <c:tx>
            <c:strRef>
              <c:f>main!$B$42</c:f>
              <c:strCache>
                <c:ptCount val="1"/>
                <c:pt idx="0">
                  <c:v>Put [5] ,strike = 100, expiry = 0.5</c:v>
                </c:pt>
              </c:strCache>
            </c:strRef>
          </c:tx>
          <c:spPr>
            <a:ln w="25400">
              <a:solidFill>
                <a:srgbClr val="800000"/>
              </a:solidFill>
              <a:prstDash val="solid"/>
            </a:ln>
          </c:spPr>
          <c:marker>
            <c:symbol val="none"/>
          </c:marker>
          <c:xVal>
            <c:numRef>
              <c:f>Sheet1!$J$3:$J$47</c:f>
              <c:numCache>
                <c:formatCode>General</c:formatCode>
                <c:ptCount val="45"/>
                <c:pt idx="0">
                  <c:v>39.999999999999922</c:v>
                </c:pt>
                <c:pt idx="1">
                  <c:v>42.727272727272648</c:v>
                </c:pt>
                <c:pt idx="2">
                  <c:v>45.454545454545375</c:v>
                </c:pt>
                <c:pt idx="3">
                  <c:v>48.181818181818102</c:v>
                </c:pt>
                <c:pt idx="4">
                  <c:v>50.909090909090828</c:v>
                </c:pt>
                <c:pt idx="5">
                  <c:v>53.636363636363555</c:v>
                </c:pt>
                <c:pt idx="6">
                  <c:v>56.363636363636282</c:v>
                </c:pt>
                <c:pt idx="7">
                  <c:v>59.090909090909008</c:v>
                </c:pt>
                <c:pt idx="8">
                  <c:v>61.818181818181735</c:v>
                </c:pt>
                <c:pt idx="9">
                  <c:v>64.545454545454461</c:v>
                </c:pt>
                <c:pt idx="10">
                  <c:v>67.272727272727195</c:v>
                </c:pt>
                <c:pt idx="11">
                  <c:v>69.999999999999929</c:v>
                </c:pt>
                <c:pt idx="12">
                  <c:v>72.727272727272663</c:v>
                </c:pt>
                <c:pt idx="13">
                  <c:v>75.454545454545396</c:v>
                </c:pt>
                <c:pt idx="14">
                  <c:v>78.18181818181813</c:v>
                </c:pt>
                <c:pt idx="15">
                  <c:v>80.909090909090864</c:v>
                </c:pt>
                <c:pt idx="16">
                  <c:v>83.636363636363598</c:v>
                </c:pt>
                <c:pt idx="17">
                  <c:v>86.363636363636331</c:v>
                </c:pt>
                <c:pt idx="18">
                  <c:v>89.090909090909065</c:v>
                </c:pt>
                <c:pt idx="19">
                  <c:v>91.818181818181799</c:v>
                </c:pt>
                <c:pt idx="20">
                  <c:v>94.545454545454533</c:v>
                </c:pt>
                <c:pt idx="21">
                  <c:v>97.272727272727266</c:v>
                </c:pt>
                <c:pt idx="22">
                  <c:v>100</c:v>
                </c:pt>
                <c:pt idx="23">
                  <c:v>102.72727272727273</c:v>
                </c:pt>
                <c:pt idx="24">
                  <c:v>105.45454545454547</c:v>
                </c:pt>
                <c:pt idx="25">
                  <c:v>108.1818181818182</c:v>
                </c:pt>
                <c:pt idx="26">
                  <c:v>110.90909090909093</c:v>
                </c:pt>
                <c:pt idx="27">
                  <c:v>113.63636363636367</c:v>
                </c:pt>
                <c:pt idx="28">
                  <c:v>116.3636363636364</c:v>
                </c:pt>
                <c:pt idx="29">
                  <c:v>119.09090909090914</c:v>
                </c:pt>
                <c:pt idx="30">
                  <c:v>121.81818181818187</c:v>
                </c:pt>
                <c:pt idx="31">
                  <c:v>124.5454545454546</c:v>
                </c:pt>
                <c:pt idx="32">
                  <c:v>127.27272727272734</c:v>
                </c:pt>
                <c:pt idx="33">
                  <c:v>130.00000000000006</c:v>
                </c:pt>
                <c:pt idx="34">
                  <c:v>132.72727272727278</c:v>
                </c:pt>
                <c:pt idx="35">
                  <c:v>135.4545454545455</c:v>
                </c:pt>
                <c:pt idx="36">
                  <c:v>138.18181818181822</c:v>
                </c:pt>
                <c:pt idx="37">
                  <c:v>140.90909090909093</c:v>
                </c:pt>
                <c:pt idx="38">
                  <c:v>143.63636363636365</c:v>
                </c:pt>
                <c:pt idx="39">
                  <c:v>146.36363636363637</c:v>
                </c:pt>
                <c:pt idx="40">
                  <c:v>149.09090909090909</c:v>
                </c:pt>
                <c:pt idx="41">
                  <c:v>151.81818181818181</c:v>
                </c:pt>
                <c:pt idx="42">
                  <c:v>154.54545454545453</c:v>
                </c:pt>
                <c:pt idx="43">
                  <c:v>157.27272727272725</c:v>
                </c:pt>
                <c:pt idx="44">
                  <c:v>159.99999999999997</c:v>
                </c:pt>
              </c:numCache>
            </c:numRef>
          </c:xVal>
          <c:yVal>
            <c:numRef>
              <c:f>Sheet1!$K$3:$K$47</c:f>
              <c:numCache>
                <c:formatCode>General</c:formatCode>
                <c:ptCount val="45"/>
                <c:pt idx="0">
                  <c:v>300.00011042793199</c:v>
                </c:pt>
                <c:pt idx="1">
                  <c:v>286.3641109689035</c:v>
                </c:pt>
                <c:pt idx="2">
                  <c:v>272.7289921462035</c:v>
                </c:pt>
                <c:pt idx="3">
                  <c:v>259.09629379996636</c:v>
                </c:pt>
                <c:pt idx="4">
                  <c:v>245.46942459942102</c:v>
                </c:pt>
                <c:pt idx="5">
                  <c:v>231.85507621806775</c:v>
                </c:pt>
                <c:pt idx="6">
                  <c:v>218.26507269077769</c:v>
                </c:pt>
                <c:pt idx="7">
                  <c:v>204.71845139692437</c:v>
                </c:pt>
                <c:pt idx="8">
                  <c:v>191.24342677282229</c:v>
                </c:pt>
                <c:pt idx="9">
                  <c:v>177.8788136501984</c:v>
                </c:pt>
                <c:pt idx="10">
                  <c:v>164.67451840355375</c:v>
                </c:pt>
                <c:pt idx="11">
                  <c:v>151.69084046833731</c:v>
                </c:pt>
                <c:pt idx="12">
                  <c:v>138.99652818484617</c:v>
                </c:pt>
                <c:pt idx="13">
                  <c:v>126.66574755487716</c:v>
                </c:pt>
                <c:pt idx="14">
                  <c:v>114.77429857892318</c:v>
                </c:pt>
                <c:pt idx="15">
                  <c:v>103.39551658763192</c:v>
                </c:pt>
                <c:pt idx="16">
                  <c:v>92.596313873871097</c:v>
                </c:pt>
                <c:pt idx="17">
                  <c:v>82.433759598961444</c:v>
                </c:pt>
                <c:pt idx="18">
                  <c:v>72.952486812570783</c:v>
                </c:pt>
                <c:pt idx="19">
                  <c:v>64.18308289319296</c:v>
                </c:pt>
                <c:pt idx="20">
                  <c:v>56.141489762390151</c:v>
                </c:pt>
                <c:pt idx="21">
                  <c:v>48.82933184121903</c:v>
                </c:pt>
                <c:pt idx="22">
                  <c:v>42.235013311614082</c:v>
                </c:pt>
                <c:pt idx="23">
                  <c:v>36.33538434084663</c:v>
                </c:pt>
                <c:pt idx="24">
                  <c:v>31.097765157256063</c:v>
                </c:pt>
                <c:pt idx="25">
                  <c:v>26.48213038673731</c:v>
                </c:pt>
                <c:pt idx="26">
                  <c:v>22.443285741035393</c:v>
                </c:pt>
                <c:pt idx="27">
                  <c:v>18.932907208697234</c:v>
                </c:pt>
                <c:pt idx="28">
                  <c:v>15.901352901137678</c:v>
                </c:pt>
                <c:pt idx="29">
                  <c:v>13.299194987956859</c:v>
                </c:pt>
                <c:pt idx="30">
                  <c:v>11.078450839844187</c:v>
                </c:pt>
                <c:pt idx="31">
                  <c:v>9.1935172419901612</c:v>
                </c:pt>
                <c:pt idx="32">
                  <c:v>7.6018291714180108</c:v>
                </c:pt>
                <c:pt idx="33">
                  <c:v>6.2642757553366746</c:v>
                </c:pt>
                <c:pt idx="34">
                  <c:v>5.1454116917327042</c:v>
                </c:pt>
                <c:pt idx="35">
                  <c:v>4.2135038368851507</c:v>
                </c:pt>
                <c:pt idx="36">
                  <c:v>3.4404510497017204</c:v>
                </c:pt>
                <c:pt idx="37">
                  <c:v>2.8016117998840961</c:v>
                </c:pt>
                <c:pt idx="38">
                  <c:v>2.2755693762007034</c:v>
                </c:pt>
                <c:pt idx="39">
                  <c:v>1.8438594472877368</c:v>
                </c:pt>
                <c:pt idx="40">
                  <c:v>1.4906797110905057</c:v>
                </c:pt>
                <c:pt idx="41">
                  <c:v>1.202596733582213</c:v>
                </c:pt>
                <c:pt idx="42">
                  <c:v>0.96826100150479544</c:v>
                </c:pt>
                <c:pt idx="43">
                  <c:v>0.778137774986013</c:v>
                </c:pt>
                <c:pt idx="44">
                  <c:v>0.62425853004752674</c:v>
                </c:pt>
              </c:numCache>
            </c:numRef>
          </c:yVal>
          <c:smooth val="1"/>
          <c:extLst>
            <c:ext xmlns:c16="http://schemas.microsoft.com/office/drawing/2014/chart" uri="{C3380CC4-5D6E-409C-BE32-E72D297353CC}">
              <c16:uniqueId val="{00000003-6EFA-4D3B-BE44-423A7F1F8BA9}"/>
            </c:ext>
          </c:extLst>
        </c:ser>
        <c:ser>
          <c:idx val="4"/>
          <c:order val="4"/>
          <c:tx>
            <c:strRef>
              <c:f>main!$B$44</c:f>
              <c:strCache>
                <c:ptCount val="1"/>
                <c:pt idx="0">
                  <c:v>Total</c:v>
                </c:pt>
              </c:strCache>
            </c:strRef>
          </c:tx>
          <c:spPr>
            <a:ln w="38100">
              <a:solidFill>
                <a:srgbClr val="FF6600"/>
              </a:solidFill>
              <a:prstDash val="solid"/>
            </a:ln>
          </c:spPr>
          <c:marker>
            <c:symbol val="none"/>
          </c:marker>
          <c:xVal>
            <c:numRef>
              <c:f>Sheet1!$M$3:$M$47</c:f>
              <c:numCache>
                <c:formatCode>General</c:formatCode>
                <c:ptCount val="45"/>
                <c:pt idx="0">
                  <c:v>39.999999999999922</c:v>
                </c:pt>
                <c:pt idx="1">
                  <c:v>42.727272727272648</c:v>
                </c:pt>
                <c:pt idx="2">
                  <c:v>45.454545454545375</c:v>
                </c:pt>
                <c:pt idx="3">
                  <c:v>48.181818181818102</c:v>
                </c:pt>
                <c:pt idx="4">
                  <c:v>50.909090909090828</c:v>
                </c:pt>
                <c:pt idx="5">
                  <c:v>53.636363636363555</c:v>
                </c:pt>
                <c:pt idx="6">
                  <c:v>56.363636363636282</c:v>
                </c:pt>
                <c:pt idx="7">
                  <c:v>59.090909090909008</c:v>
                </c:pt>
                <c:pt idx="8">
                  <c:v>61.818181818181735</c:v>
                </c:pt>
                <c:pt idx="9">
                  <c:v>64.545454545454461</c:v>
                </c:pt>
                <c:pt idx="10">
                  <c:v>67.272727272727195</c:v>
                </c:pt>
                <c:pt idx="11">
                  <c:v>69.999999999999929</c:v>
                </c:pt>
                <c:pt idx="12">
                  <c:v>72.727272727272663</c:v>
                </c:pt>
                <c:pt idx="13">
                  <c:v>75.454545454545396</c:v>
                </c:pt>
                <c:pt idx="14">
                  <c:v>78.18181818181813</c:v>
                </c:pt>
                <c:pt idx="15">
                  <c:v>80.909090909090864</c:v>
                </c:pt>
                <c:pt idx="16">
                  <c:v>83.636363636363598</c:v>
                </c:pt>
                <c:pt idx="17">
                  <c:v>86.363636363636331</c:v>
                </c:pt>
                <c:pt idx="18">
                  <c:v>89.090909090909065</c:v>
                </c:pt>
                <c:pt idx="19">
                  <c:v>91.818181818181799</c:v>
                </c:pt>
                <c:pt idx="20">
                  <c:v>94.545454545454533</c:v>
                </c:pt>
                <c:pt idx="21">
                  <c:v>97.272727272727266</c:v>
                </c:pt>
                <c:pt idx="22">
                  <c:v>100</c:v>
                </c:pt>
                <c:pt idx="23">
                  <c:v>102.72727272727273</c:v>
                </c:pt>
                <c:pt idx="24">
                  <c:v>105.45454545454547</c:v>
                </c:pt>
                <c:pt idx="25">
                  <c:v>108.1818181818182</c:v>
                </c:pt>
                <c:pt idx="26">
                  <c:v>110.90909090909093</c:v>
                </c:pt>
                <c:pt idx="27">
                  <c:v>113.63636363636367</c:v>
                </c:pt>
                <c:pt idx="28">
                  <c:v>116.3636363636364</c:v>
                </c:pt>
                <c:pt idx="29">
                  <c:v>119.09090909090914</c:v>
                </c:pt>
                <c:pt idx="30">
                  <c:v>121.81818181818187</c:v>
                </c:pt>
                <c:pt idx="31">
                  <c:v>124.5454545454546</c:v>
                </c:pt>
                <c:pt idx="32">
                  <c:v>127.27272727272734</c:v>
                </c:pt>
                <c:pt idx="33">
                  <c:v>130.00000000000006</c:v>
                </c:pt>
                <c:pt idx="34">
                  <c:v>132.72727272727278</c:v>
                </c:pt>
                <c:pt idx="35">
                  <c:v>135.4545454545455</c:v>
                </c:pt>
                <c:pt idx="36">
                  <c:v>138.18181818181822</c:v>
                </c:pt>
                <c:pt idx="37">
                  <c:v>140.90909090909093</c:v>
                </c:pt>
                <c:pt idx="38">
                  <c:v>143.63636363636365</c:v>
                </c:pt>
                <c:pt idx="39">
                  <c:v>146.36363636363637</c:v>
                </c:pt>
                <c:pt idx="40">
                  <c:v>149.09090909090909</c:v>
                </c:pt>
                <c:pt idx="41">
                  <c:v>151.81818181818181</c:v>
                </c:pt>
                <c:pt idx="42">
                  <c:v>154.54545454545453</c:v>
                </c:pt>
                <c:pt idx="43">
                  <c:v>157.27272727272725</c:v>
                </c:pt>
                <c:pt idx="44">
                  <c:v>159.99999999999997</c:v>
                </c:pt>
              </c:numCache>
            </c:numRef>
          </c:xVal>
          <c:yVal>
            <c:numRef>
              <c:f>Sheet1!$N$3:$N$47</c:f>
              <c:numCache>
                <c:formatCode>General</c:formatCode>
                <c:ptCount val="45"/>
                <c:pt idx="0">
                  <c:v>300.00602982482081</c:v>
                </c:pt>
                <c:pt idx="1">
                  <c:v>286.37727186914231</c:v>
                </c:pt>
                <c:pt idx="2">
                  <c:v>272.75579438979338</c:v>
                </c:pt>
                <c:pt idx="3">
                  <c:v>259.1469353467362</c:v>
                </c:pt>
                <c:pt idx="4">
                  <c:v>245.55913247920694</c:v>
                </c:pt>
                <c:pt idx="5">
                  <c:v>232.00534819608794</c:v>
                </c:pt>
                <c:pt idx="6">
                  <c:v>218.50482115152894</c:v>
                </c:pt>
                <c:pt idx="7">
                  <c:v>205.08494841145841</c:v>
                </c:pt>
                <c:pt idx="8">
                  <c:v>191.78296979988295</c:v>
                </c:pt>
                <c:pt idx="9">
                  <c:v>178.64705989025921</c:v>
                </c:pt>
                <c:pt idx="10">
                  <c:v>165.73646718170116</c:v>
                </c:pt>
                <c:pt idx="11">
                  <c:v>153.12047260939033</c:v>
                </c:pt>
                <c:pt idx="12">
                  <c:v>140.87613592885398</c:v>
                </c:pt>
                <c:pt idx="13">
                  <c:v>129.08500637775921</c:v>
                </c:pt>
                <c:pt idx="14">
                  <c:v>117.82914286996227</c:v>
                </c:pt>
                <c:pt idx="15">
                  <c:v>107.1868850112832</c:v>
                </c:pt>
                <c:pt idx="16">
                  <c:v>97.228828541162088</c:v>
                </c:pt>
                <c:pt idx="17">
                  <c:v>88.014397312131436</c:v>
                </c:pt>
                <c:pt idx="18">
                  <c:v>79.589292074102687</c:v>
                </c:pt>
                <c:pt idx="19">
                  <c:v>71.983962394757981</c:v>
                </c:pt>
                <c:pt idx="20">
                  <c:v>65.213117762906876</c:v>
                </c:pt>
                <c:pt idx="21">
                  <c:v>59.276186009142933</c:v>
                </c:pt>
                <c:pt idx="22">
                  <c:v>54.158551785662581</c:v>
                </c:pt>
                <c:pt idx="23">
                  <c:v>49.83336726729145</c:v>
                </c:pt>
                <c:pt idx="24">
                  <c:v>46.263717917671293</c:v>
                </c:pt>
                <c:pt idx="25">
                  <c:v>43.404941127135373</c:v>
                </c:pt>
                <c:pt idx="26">
                  <c:v>41.206926547285534</c:v>
                </c:pt>
                <c:pt idx="27">
                  <c:v>39.616266182936087</c:v>
                </c:pt>
                <c:pt idx="28">
                  <c:v>38.578163291125861</c:v>
                </c:pt>
                <c:pt idx="29">
                  <c:v>38.038047211889896</c:v>
                </c:pt>
                <c:pt idx="30">
                  <c:v>37.942873548009352</c:v>
                </c:pt>
                <c:pt idx="31">
                  <c:v>38.242114297205887</c:v>
                </c:pt>
                <c:pt idx="32">
                  <c:v>38.888460468855293</c:v>
                </c:pt>
                <c:pt idx="33">
                  <c:v>39.838271020268969</c:v>
                </c:pt>
                <c:pt idx="34">
                  <c:v>41.051807696283916</c:v>
                </c:pt>
                <c:pt idx="35">
                  <c:v>42.493296791380104</c:v>
                </c:pt>
                <c:pt idx="36">
                  <c:v>44.130857197636558</c:v>
                </c:pt>
                <c:pt idx="37">
                  <c:v>45.936330441092252</c:v>
                </c:pt>
                <c:pt idx="38">
                  <c:v>47.88504363714776</c:v>
                </c:pt>
                <c:pt idx="39">
                  <c:v>49.955531097808525</c:v>
                </c:pt>
                <c:pt idx="40">
                  <c:v>52.129235188574484</c:v>
                </c:pt>
                <c:pt idx="41">
                  <c:v>54.390202279829253</c:v>
                </c:pt>
                <c:pt idx="42">
                  <c:v>56.724785449562908</c:v>
                </c:pt>
                <c:pt idx="43">
                  <c:v>59.12136205130448</c:v>
                </c:pt>
                <c:pt idx="44">
                  <c:v>61.570071370880015</c:v>
                </c:pt>
              </c:numCache>
            </c:numRef>
          </c:yVal>
          <c:smooth val="1"/>
          <c:extLst>
            <c:ext xmlns:c16="http://schemas.microsoft.com/office/drawing/2014/chart" uri="{C3380CC4-5D6E-409C-BE32-E72D297353CC}">
              <c16:uniqueId val="{00000004-6EFA-4D3B-BE44-423A7F1F8BA9}"/>
            </c:ext>
          </c:extLst>
        </c:ser>
        <c:dLbls>
          <c:showLegendKey val="0"/>
          <c:showVal val="0"/>
          <c:showCatName val="0"/>
          <c:showSerName val="0"/>
          <c:showPercent val="0"/>
          <c:showBubbleSize val="0"/>
        </c:dLbls>
        <c:axId val="571043064"/>
        <c:axId val="1"/>
      </c:scatterChart>
      <c:valAx>
        <c:axId val="571043064"/>
        <c:scaling>
          <c:orientation val="minMax"/>
        </c:scaling>
        <c:delete val="0"/>
        <c:axPos val="b"/>
        <c:title>
          <c:tx>
            <c:strRef>
              <c:f>main!$R$78</c:f>
              <c:strCache>
                <c:ptCount val="1"/>
                <c:pt idx="0">
                  <c:v>Spot</c:v>
                </c:pt>
              </c:strCache>
            </c:strRef>
          </c:tx>
          <c:layout>
            <c:manualLayout>
              <c:xMode val="edge"/>
              <c:yMode val="edge"/>
              <c:x val="0.9219784834587984"/>
              <c:y val="0.70454634931997129"/>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numFmt formatCode="General"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C0C0C0"/>
              </a:solidFill>
              <a:prstDash val="sysDash"/>
            </a:ln>
          </c:spPr>
        </c:majorGridlines>
        <c:numFmt formatCode="0.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571043064"/>
        <c:crosses val="autoZero"/>
        <c:crossBetween val="midCat"/>
      </c:valAx>
      <c:spPr>
        <a:solidFill>
          <a:srgbClr val="FFFFCC"/>
        </a:solidFill>
        <a:ln w="12700">
          <a:solidFill>
            <a:srgbClr val="808080"/>
          </a:solidFill>
          <a:prstDash val="solid"/>
        </a:ln>
      </c:spPr>
    </c:plotArea>
    <c:legend>
      <c:legendPos val="r"/>
      <c:legendEntry>
        <c:idx val="0"/>
        <c:txPr>
          <a:bodyPr/>
          <a:lstStyle/>
          <a:p>
            <a:pPr>
              <a:defRPr sz="845" b="0" i="0" u="none" strike="noStrike" baseline="0">
                <a:solidFill>
                  <a:srgbClr val="000000"/>
                </a:solidFill>
                <a:latin typeface="Arial"/>
                <a:ea typeface="Arial"/>
                <a:cs typeface="Arial"/>
              </a:defRPr>
            </a:pPr>
            <a:endParaRPr lang="en-US"/>
          </a:p>
        </c:txPr>
      </c:legendEntry>
      <c:legendEntry>
        <c:idx val="1"/>
        <c:txPr>
          <a:bodyPr/>
          <a:lstStyle/>
          <a:p>
            <a:pPr>
              <a:defRPr sz="845" b="0" i="0" u="none" strike="noStrike" baseline="0">
                <a:solidFill>
                  <a:srgbClr val="000000"/>
                </a:solidFill>
                <a:latin typeface="Arial"/>
                <a:ea typeface="Arial"/>
                <a:cs typeface="Arial"/>
              </a:defRPr>
            </a:pPr>
            <a:endParaRPr lang="en-US"/>
          </a:p>
        </c:txPr>
      </c:legendEntry>
      <c:legendEntry>
        <c:idx val="2"/>
        <c:txPr>
          <a:bodyPr/>
          <a:lstStyle/>
          <a:p>
            <a:pPr>
              <a:defRPr sz="845" b="0" i="0" u="none" strike="noStrike" baseline="0">
                <a:solidFill>
                  <a:srgbClr val="000000"/>
                </a:solidFill>
                <a:latin typeface="Arial"/>
                <a:ea typeface="Arial"/>
                <a:cs typeface="Arial"/>
              </a:defRPr>
            </a:pPr>
            <a:endParaRPr lang="en-US"/>
          </a:p>
        </c:txPr>
      </c:legendEntry>
      <c:legendEntry>
        <c:idx val="3"/>
        <c:txPr>
          <a:bodyPr/>
          <a:lstStyle/>
          <a:p>
            <a:pPr>
              <a:defRPr sz="845" b="0" i="0" u="none" strike="noStrike" baseline="0">
                <a:solidFill>
                  <a:srgbClr val="000000"/>
                </a:solidFill>
                <a:latin typeface="Arial"/>
                <a:ea typeface="Arial"/>
                <a:cs typeface="Arial"/>
              </a:defRPr>
            </a:pPr>
            <a:endParaRPr lang="en-US"/>
          </a:p>
        </c:txPr>
      </c:legendEntry>
      <c:legendEntry>
        <c:idx val="4"/>
        <c:txPr>
          <a:bodyPr/>
          <a:lstStyle/>
          <a:p>
            <a:pPr>
              <a:defRPr sz="845" b="0" i="0" u="none" strike="noStrike" baseline="0">
                <a:solidFill>
                  <a:srgbClr val="000000"/>
                </a:solidFill>
                <a:latin typeface="Arial"/>
                <a:ea typeface="Arial"/>
                <a:cs typeface="Arial"/>
              </a:defRPr>
            </a:pPr>
            <a:endParaRPr lang="en-US"/>
          </a:p>
        </c:txPr>
      </c:legendEntry>
      <c:layout>
        <c:manualLayout>
          <c:xMode val="edge"/>
          <c:yMode val="edge"/>
          <c:x val="0.14285714285714285"/>
          <c:y val="0.74715909090909094"/>
          <c:w val="0.71098901098901091"/>
          <c:h val="0.24431818181818177"/>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trlProps/ctrlProp1.xml><?xml version="1.0" encoding="utf-8"?>
<formControlPr xmlns="http://schemas.microsoft.com/office/spreadsheetml/2009/9/main" objectType="Drop" dropStyle="combo" dx="21" fmlaLink="greek" fmlaRange="$A$89:$A$94" noThreeD="1" sel="1" val="0"/>
</file>

<file path=xl/ctrlProps/ctrlProp2.xml><?xml version="1.0" encoding="utf-8"?>
<formControlPr xmlns="http://schemas.microsoft.com/office/spreadsheetml/2009/9/main" objectType="Drop" dropStyle="combo" dx="21" fmlaLink="vary" fmlaRange="$T$30:$T$32" noThreeD="1" sel="1" val="0"/>
</file>

<file path=xl/ctrlProps/ctrlProp3.xml><?xml version="1.0" encoding="utf-8"?>
<formControlPr xmlns="http://schemas.microsoft.com/office/spreadsheetml/2009/9/main" objectType="CheckBox" checked="Checked" fmlaLink="$P$39" lockText="1"/>
</file>

<file path=xl/ctrlProps/ctrlProp4.xml><?xml version="1.0" encoding="utf-8"?>
<formControlPr xmlns="http://schemas.microsoft.com/office/spreadsheetml/2009/9/main" objectType="CheckBox" fmlaLink="$P$40" lockText="1"/>
</file>

<file path=xl/ctrlProps/ctrlProp5.xml><?xml version="1.0" encoding="utf-8"?>
<formControlPr xmlns="http://schemas.microsoft.com/office/spreadsheetml/2009/9/main" objectType="CheckBox" fmlaLink="$P$41" lockText="1"/>
</file>

<file path=xl/ctrlProps/ctrlProp6.xml><?xml version="1.0" encoding="utf-8"?>
<formControlPr xmlns="http://schemas.microsoft.com/office/spreadsheetml/2009/9/main" objectType="CheckBox" checked="Checked" fmlaLink="$P$42" lockText="1"/>
</file>

<file path=xl/ctrlProps/ctrlProp7.xml><?xml version="1.0" encoding="utf-8"?>
<formControlPr xmlns="http://schemas.microsoft.com/office/spreadsheetml/2009/9/main" objectType="CheckBox" checked="Checked" fmlaLink="$P$44" lockText="1"/>
</file>

<file path=xl/ctrlProps/ctrlProp8.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76200</xdr:rowOff>
    </xdr:from>
    <xdr:to>
      <xdr:col>2</xdr:col>
      <xdr:colOff>752018</xdr:colOff>
      <xdr:row>3</xdr:row>
      <xdr:rowOff>50799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2400"/>
          <a:ext cx="78376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45</xdr:row>
      <xdr:rowOff>9525</xdr:rowOff>
    </xdr:from>
    <xdr:to>
      <xdr:col>19</xdr:col>
      <xdr:colOff>19050</xdr:colOff>
      <xdr:row>65</xdr:row>
      <xdr:rowOff>123825</xdr:rowOff>
    </xdr:to>
    <xdr:graphicFrame macro="">
      <xdr:nvGraphicFramePr>
        <xdr:cNvPr id="1042" name="chart_1">
          <a:extLst>
            <a:ext uri="{FF2B5EF4-FFF2-40B4-BE49-F238E27FC236}">
              <a16:creationId xmlns:a16="http://schemas.microsoft.com/office/drawing/2014/main" id="{00000000-0008-0000-0100-000012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561974</xdr:colOff>
      <xdr:row>45</xdr:row>
      <xdr:rowOff>47625</xdr:rowOff>
    </xdr:from>
    <xdr:to>
      <xdr:col>16</xdr:col>
      <xdr:colOff>447675</xdr:colOff>
      <xdr:row>47</xdr:row>
      <xdr:rowOff>28575</xdr:rowOff>
    </xdr:to>
    <xdr:sp macro="" textlink="">
      <xdr:nvSpPr>
        <xdr:cNvPr id="1026" name="TextBox 2">
          <a:extLst>
            <a:ext uri="{FF2B5EF4-FFF2-40B4-BE49-F238E27FC236}">
              <a16:creationId xmlns:a16="http://schemas.microsoft.com/office/drawing/2014/main" id="{00000000-0008-0000-0100-000002040000}"/>
            </a:ext>
          </a:extLst>
        </xdr:cNvPr>
        <xdr:cNvSpPr txBox="1">
          <a:spLocks noChangeArrowheads="1"/>
        </xdr:cNvSpPr>
      </xdr:nvSpPr>
      <xdr:spPr bwMode="auto">
        <a:xfrm>
          <a:off x="5314949" y="1638300"/>
          <a:ext cx="2724151" cy="3048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1">
            <a:defRPr sz="1000"/>
          </a:pPr>
          <a:r>
            <a:rPr lang="en-AU" sz="1100" b="0" i="0" strike="noStrike">
              <a:solidFill>
                <a:srgbClr val="000000"/>
              </a:solidFill>
              <a:latin typeface="Calibri"/>
              <a:cs typeface="Calibri"/>
            </a:rPr>
            <a:t>Add</a:t>
          </a:r>
          <a:r>
            <a:rPr lang="en-AU" sz="1100" b="0" i="0" strike="noStrike" baseline="0">
              <a:solidFill>
                <a:srgbClr val="000000"/>
              </a:solidFill>
              <a:latin typeface="Calibri"/>
              <a:cs typeface="Calibri"/>
            </a:rPr>
            <a:t> individual curves</a:t>
          </a:r>
          <a:r>
            <a:rPr lang="en-AU" sz="1100" b="0" i="0" strike="noStrike">
              <a:solidFill>
                <a:srgbClr val="000000"/>
              </a:solidFill>
              <a:latin typeface="Calibri"/>
              <a:cs typeface="Calibri"/>
            </a:rPr>
            <a:t> and</a:t>
          </a:r>
          <a:r>
            <a:rPr lang="en-AU" sz="1100" b="0" i="0" strike="noStrike" baseline="0">
              <a:solidFill>
                <a:srgbClr val="000000"/>
              </a:solidFill>
              <a:latin typeface="Calibri"/>
              <a:cs typeface="Calibri"/>
            </a:rPr>
            <a:t> show their sum</a:t>
          </a:r>
          <a:r>
            <a:rPr lang="en-AU" sz="1100" b="0" i="0" strike="noStrike">
              <a:solidFill>
                <a:srgbClr val="000000"/>
              </a:solidFill>
              <a:latin typeface="Calibri"/>
              <a:cs typeface="Calibri"/>
            </a:rPr>
            <a:t>:</a:t>
          </a:r>
        </a:p>
      </xdr:txBody>
    </xdr:sp>
    <xdr:clientData/>
  </xdr:twoCellAnchor>
  <mc:AlternateContent xmlns:mc="http://schemas.openxmlformats.org/markup-compatibility/2006">
    <mc:Choice xmlns:a14="http://schemas.microsoft.com/office/drawing/2010/main" Requires="a14">
      <xdr:twoCellAnchor editAs="oneCell">
        <xdr:from>
          <xdr:col>5</xdr:col>
          <xdr:colOff>393700</xdr:colOff>
          <xdr:row>45</xdr:row>
          <xdr:rowOff>88900</xdr:rowOff>
        </xdr:from>
        <xdr:to>
          <xdr:col>7</xdr:col>
          <xdr:colOff>114300</xdr:colOff>
          <xdr:row>46</xdr:row>
          <xdr:rowOff>133350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184150</xdr:colOff>
          <xdr:row>45</xdr:row>
          <xdr:rowOff>95250</xdr:rowOff>
        </xdr:from>
        <xdr:to>
          <xdr:col>10</xdr:col>
          <xdr:colOff>304800</xdr:colOff>
          <xdr:row>46</xdr:row>
          <xdr:rowOff>133350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37</xdr:row>
          <xdr:rowOff>19050</xdr:rowOff>
        </xdr:from>
        <xdr:to>
          <xdr:col>14</xdr:col>
          <xdr:colOff>371475</xdr:colOff>
          <xdr:row>39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38</xdr:row>
          <xdr:rowOff>133350</xdr:rowOff>
        </xdr:from>
        <xdr:to>
          <xdr:col>14</xdr:col>
          <xdr:colOff>371475</xdr:colOff>
          <xdr:row>40</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39</xdr:row>
          <xdr:rowOff>133350</xdr:rowOff>
        </xdr:from>
        <xdr:to>
          <xdr:col>14</xdr:col>
          <xdr:colOff>371475</xdr:colOff>
          <xdr:row>41</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40</xdr:row>
          <xdr:rowOff>133350</xdr:rowOff>
        </xdr:from>
        <xdr:to>
          <xdr:col>14</xdr:col>
          <xdr:colOff>371475</xdr:colOff>
          <xdr:row>42</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412750</xdr:colOff>
          <xdr:row>45</xdr:row>
          <xdr:rowOff>69850</xdr:rowOff>
        </xdr:from>
        <xdr:to>
          <xdr:col>17</xdr:col>
          <xdr:colOff>219075</xdr:colOff>
          <xdr:row>46</xdr:row>
          <xdr:rowOff>123825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xdr:col>
      <xdr:colOff>238125</xdr:colOff>
      <xdr:row>10</xdr:row>
      <xdr:rowOff>57150</xdr:rowOff>
    </xdr:from>
    <xdr:to>
      <xdr:col>11</xdr:col>
      <xdr:colOff>723900</xdr:colOff>
      <xdr:row>17</xdr:row>
      <xdr:rowOff>123825</xdr:rowOff>
    </xdr:to>
    <xdr:pic>
      <xdr:nvPicPr>
        <xdr:cNvPr id="4117" name="Picture 1">
          <a:extLst>
            <a:ext uri="{FF2B5EF4-FFF2-40B4-BE49-F238E27FC236}">
              <a16:creationId xmlns:a16="http://schemas.microsoft.com/office/drawing/2014/main" id="{00000000-0008-0000-02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1790700"/>
          <a:ext cx="17335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304800</xdr:colOff>
      <xdr:row>8</xdr:row>
      <xdr:rowOff>123825</xdr:rowOff>
    </xdr:from>
    <xdr:to>
      <xdr:col>11</xdr:col>
      <xdr:colOff>504825</xdr:colOff>
      <xdr:row>12</xdr:row>
      <xdr:rowOff>66675</xdr:rowOff>
    </xdr:to>
    <xdr:sp macro="" textlink="">
      <xdr:nvSpPr>
        <xdr:cNvPr id="4118" name="Line 2">
          <a:extLst>
            <a:ext uri="{FF2B5EF4-FFF2-40B4-BE49-F238E27FC236}">
              <a16:creationId xmlns:a16="http://schemas.microsoft.com/office/drawing/2014/main" id="{00000000-0008-0000-0200-000016100000}"/>
            </a:ext>
          </a:extLst>
        </xdr:cNvPr>
        <xdr:cNvSpPr>
          <a:spLocks noChangeShapeType="1"/>
        </xdr:cNvSpPr>
      </xdr:nvSpPr>
      <xdr:spPr bwMode="auto">
        <a:xfrm flipH="1">
          <a:off x="5495925" y="1533525"/>
          <a:ext cx="200025" cy="590550"/>
        </a:xfrm>
        <a:prstGeom prst="line">
          <a:avLst/>
        </a:prstGeom>
        <a:noFill/>
        <a:ln w="222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9</xdr:col>
      <xdr:colOff>161925</xdr:colOff>
      <xdr:row>20</xdr:row>
      <xdr:rowOff>47625</xdr:rowOff>
    </xdr:from>
    <xdr:to>
      <xdr:col>13</xdr:col>
      <xdr:colOff>57150</xdr:colOff>
      <xdr:row>27</xdr:row>
      <xdr:rowOff>57150</xdr:rowOff>
    </xdr:to>
    <xdr:pic>
      <xdr:nvPicPr>
        <xdr:cNvPr id="4119" name="Picture 3">
          <a:extLst>
            <a:ext uri="{FF2B5EF4-FFF2-40B4-BE49-F238E27FC236}">
              <a16:creationId xmlns:a16="http://schemas.microsoft.com/office/drawing/2014/main" id="{00000000-0008-0000-0200-000017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3400425"/>
          <a:ext cx="25241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228600</xdr:colOff>
      <xdr:row>18</xdr:row>
      <xdr:rowOff>114300</xdr:rowOff>
    </xdr:from>
    <xdr:to>
      <xdr:col>9</xdr:col>
      <xdr:colOff>447675</xdr:colOff>
      <xdr:row>21</xdr:row>
      <xdr:rowOff>133350</xdr:rowOff>
    </xdr:to>
    <xdr:sp macro="" textlink="">
      <xdr:nvSpPr>
        <xdr:cNvPr id="4120" name="Line 4">
          <a:extLst>
            <a:ext uri="{FF2B5EF4-FFF2-40B4-BE49-F238E27FC236}">
              <a16:creationId xmlns:a16="http://schemas.microsoft.com/office/drawing/2014/main" id="{00000000-0008-0000-0200-000018100000}"/>
            </a:ext>
          </a:extLst>
        </xdr:cNvPr>
        <xdr:cNvSpPr>
          <a:spLocks noChangeShapeType="1"/>
        </xdr:cNvSpPr>
      </xdr:nvSpPr>
      <xdr:spPr bwMode="auto">
        <a:xfrm>
          <a:off x="4105275" y="3143250"/>
          <a:ext cx="219075" cy="504825"/>
        </a:xfrm>
        <a:prstGeom prst="line">
          <a:avLst/>
        </a:prstGeom>
        <a:noFill/>
        <a:ln w="222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219075</xdr:colOff>
      <xdr:row>18</xdr:row>
      <xdr:rowOff>123825</xdr:rowOff>
    </xdr:from>
    <xdr:to>
      <xdr:col>11</xdr:col>
      <xdr:colOff>695325</xdr:colOff>
      <xdr:row>21</xdr:row>
      <xdr:rowOff>85725</xdr:rowOff>
    </xdr:to>
    <xdr:sp macro="" textlink="">
      <xdr:nvSpPr>
        <xdr:cNvPr id="4121" name="Line 5">
          <a:extLst>
            <a:ext uri="{FF2B5EF4-FFF2-40B4-BE49-F238E27FC236}">
              <a16:creationId xmlns:a16="http://schemas.microsoft.com/office/drawing/2014/main" id="{00000000-0008-0000-0200-000019100000}"/>
            </a:ext>
          </a:extLst>
        </xdr:cNvPr>
        <xdr:cNvSpPr>
          <a:spLocks noChangeShapeType="1"/>
        </xdr:cNvSpPr>
      </xdr:nvSpPr>
      <xdr:spPr bwMode="auto">
        <a:xfrm>
          <a:off x="4095750" y="3152775"/>
          <a:ext cx="1752600" cy="447675"/>
        </a:xfrm>
        <a:prstGeom prst="line">
          <a:avLst/>
        </a:prstGeom>
        <a:noFill/>
        <a:ln w="222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15</xdr:col>
          <xdr:colOff>50800</xdr:colOff>
          <xdr:row>2</xdr:row>
          <xdr:rowOff>88900</xdr:rowOff>
        </xdr:from>
        <xdr:to>
          <xdr:col>18</xdr:col>
          <xdr:colOff>114300</xdr:colOff>
          <xdr:row>3</xdr:row>
          <xdr:rowOff>107950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000" b="0" i="0" u="none" strike="noStrike" baseline="0">
                  <a:solidFill>
                    <a:srgbClr val="000000"/>
                  </a:solidFill>
                  <a:latin typeface="Arial"/>
                  <a:cs typeface="Arial"/>
                </a:rPr>
                <a:t>Save Set</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tykoh.com/?rfr=oa" TargetMode="External"/><Relationship Id="rId1" Type="http://schemas.openxmlformats.org/officeDocument/2006/relationships/hyperlink" Target="http://www.tykoh.com/?rfr=oa"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https://www.tykoh.com/?rfr=oa" TargetMode="External"/><Relationship Id="rId1" Type="http://schemas.openxmlformats.org/officeDocument/2006/relationships/hyperlink" Target="http://www.tykoh.com/"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2.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ykoh.com/?rfr=oa" TargetMode="External"/><Relationship Id="rId1" Type="http://schemas.openxmlformats.org/officeDocument/2006/relationships/hyperlink" Target="http://www.tykoh.com/"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showGridLines="0" showRowColHeaders="0" workbookViewId="0">
      <selection activeCell="B4" sqref="B4:C4"/>
    </sheetView>
  </sheetViews>
  <sheetFormatPr defaultRowHeight="12.5" zeroHeight="1"/>
  <cols>
    <col min="1" max="2" width="1.1796875" customWidth="1"/>
    <col min="3" max="3" width="12.26953125" customWidth="1"/>
    <col min="4" max="4" width="1.26953125" customWidth="1"/>
    <col min="12" max="12" width="1" customWidth="1"/>
    <col min="13" max="13" width="0.7265625" customWidth="1"/>
    <col min="14" max="256" width="0" hidden="1" customWidth="1"/>
  </cols>
  <sheetData>
    <row r="1" spans="1:12" ht="6" customHeight="1" thickBot="1"/>
    <row r="2" spans="1:12">
      <c r="B2" s="171"/>
      <c r="C2" s="172"/>
      <c r="D2" s="172"/>
      <c r="E2" s="172"/>
      <c r="F2" s="172"/>
      <c r="G2" s="172"/>
      <c r="H2" s="172"/>
      <c r="I2" s="172"/>
      <c r="J2" s="172"/>
      <c r="K2" s="172"/>
      <c r="L2" s="173"/>
    </row>
    <row r="3" spans="1:12" ht="23">
      <c r="B3" s="174"/>
      <c r="E3" s="188" t="s">
        <v>178</v>
      </c>
      <c r="F3" s="189"/>
      <c r="G3" s="189"/>
      <c r="H3" s="189"/>
      <c r="I3" s="189"/>
      <c r="J3" s="189"/>
      <c r="K3" s="190"/>
      <c r="L3" s="175"/>
    </row>
    <row r="4" spans="1:12" ht="18">
      <c r="B4" s="191" t="s">
        <v>0</v>
      </c>
      <c r="C4" s="192"/>
      <c r="E4" s="193" t="s">
        <v>179</v>
      </c>
      <c r="F4" s="194"/>
      <c r="G4" s="194"/>
      <c r="H4" s="194"/>
      <c r="I4" s="194"/>
      <c r="J4" s="194"/>
      <c r="K4" s="195"/>
      <c r="L4" s="175"/>
    </row>
    <row r="5" spans="1:12">
      <c r="B5" s="174"/>
      <c r="L5" s="175"/>
    </row>
    <row r="6" spans="1:12">
      <c r="A6" s="176"/>
      <c r="B6" s="177"/>
      <c r="C6" s="176"/>
      <c r="D6" s="176"/>
      <c r="E6" s="176"/>
      <c r="F6" s="176"/>
      <c r="G6" s="176"/>
      <c r="H6" s="176"/>
      <c r="I6" s="176"/>
      <c r="J6" s="176"/>
      <c r="K6" s="176"/>
      <c r="L6" s="178"/>
    </row>
    <row r="7" spans="1:12">
      <c r="A7" s="176"/>
      <c r="B7" s="177"/>
      <c r="C7" s="196" t="s">
        <v>180</v>
      </c>
      <c r="D7" s="197"/>
      <c r="E7" s="197"/>
      <c r="F7" s="197"/>
      <c r="G7" s="197"/>
      <c r="H7" s="197"/>
      <c r="I7" s="197"/>
      <c r="J7" s="197"/>
      <c r="K7" s="197"/>
      <c r="L7" s="179"/>
    </row>
    <row r="8" spans="1:12">
      <c r="A8" s="176"/>
      <c r="B8" s="177"/>
      <c r="C8" s="197"/>
      <c r="D8" s="197"/>
      <c r="E8" s="197"/>
      <c r="F8" s="197"/>
      <c r="G8" s="197"/>
      <c r="H8" s="197"/>
      <c r="I8" s="197"/>
      <c r="J8" s="197"/>
      <c r="K8" s="197"/>
      <c r="L8" s="179"/>
    </row>
    <row r="9" spans="1:12">
      <c r="A9" s="176"/>
      <c r="B9" s="177"/>
      <c r="C9" s="197"/>
      <c r="D9" s="197"/>
      <c r="E9" s="197"/>
      <c r="F9" s="197"/>
      <c r="G9" s="197"/>
      <c r="H9" s="197"/>
      <c r="I9" s="197"/>
      <c r="J9" s="197"/>
      <c r="K9" s="197"/>
      <c r="L9" s="179"/>
    </row>
    <row r="10" spans="1:12">
      <c r="A10" s="176"/>
      <c r="B10" s="177"/>
      <c r="C10" s="176"/>
      <c r="D10" s="176"/>
      <c r="E10" s="176"/>
      <c r="F10" s="176"/>
      <c r="G10" s="176"/>
      <c r="H10" s="176"/>
      <c r="I10" s="176"/>
      <c r="J10" s="176"/>
      <c r="K10" s="176"/>
      <c r="L10" s="178"/>
    </row>
    <row r="11" spans="1:12">
      <c r="A11" s="176"/>
      <c r="B11" s="177"/>
      <c r="C11" s="198" t="s">
        <v>181</v>
      </c>
      <c r="D11" s="198"/>
      <c r="E11" s="198"/>
      <c r="F11" s="198"/>
      <c r="G11" s="198"/>
      <c r="H11" s="198"/>
      <c r="I11" s="198"/>
      <c r="J11" s="198"/>
      <c r="K11" s="198"/>
      <c r="L11" s="179"/>
    </row>
    <row r="12" spans="1:12">
      <c r="A12" s="176"/>
      <c r="B12" s="177"/>
      <c r="C12" s="180"/>
      <c r="D12" s="180"/>
      <c r="E12" s="180"/>
      <c r="F12" s="180"/>
      <c r="G12" s="180"/>
      <c r="H12" s="180"/>
      <c r="I12" s="180"/>
      <c r="J12" s="180"/>
      <c r="K12" s="180"/>
      <c r="L12" s="178"/>
    </row>
    <row r="13" spans="1:12">
      <c r="A13" s="176"/>
      <c r="B13" s="177"/>
      <c r="C13" s="199" t="s">
        <v>182</v>
      </c>
      <c r="D13" s="200"/>
      <c r="E13" s="200"/>
      <c r="F13" s="200"/>
      <c r="G13" s="200"/>
      <c r="H13" s="200"/>
      <c r="I13" s="200"/>
      <c r="J13" s="200"/>
      <c r="K13" s="200"/>
      <c r="L13" s="181"/>
    </row>
    <row r="14" spans="1:12">
      <c r="A14" s="176"/>
      <c r="B14" s="177"/>
      <c r="C14" s="176"/>
      <c r="D14" s="176"/>
      <c r="E14" s="176"/>
      <c r="F14" s="176"/>
      <c r="G14" s="176"/>
      <c r="H14" s="176"/>
      <c r="I14" s="176"/>
      <c r="J14" s="176"/>
      <c r="K14" s="176"/>
      <c r="L14" s="178"/>
    </row>
    <row r="15" spans="1:12">
      <c r="A15" s="176"/>
      <c r="B15" s="177"/>
      <c r="C15" s="186" t="s">
        <v>183</v>
      </c>
      <c r="D15" s="186"/>
      <c r="E15" s="186"/>
      <c r="F15" s="186"/>
      <c r="G15" s="186"/>
      <c r="H15" s="186"/>
      <c r="I15" s="186"/>
      <c r="J15" s="186"/>
      <c r="K15" s="186"/>
      <c r="L15" s="182"/>
    </row>
    <row r="16" spans="1:12">
      <c r="A16" s="176"/>
      <c r="B16" s="177"/>
      <c r="C16" s="186"/>
      <c r="D16" s="186"/>
      <c r="E16" s="186"/>
      <c r="F16" s="186"/>
      <c r="G16" s="186"/>
      <c r="H16" s="186"/>
      <c r="I16" s="186"/>
      <c r="J16" s="186"/>
      <c r="K16" s="186"/>
      <c r="L16" s="182"/>
    </row>
    <row r="17" spans="1:12">
      <c r="A17" s="176"/>
      <c r="B17" s="177"/>
      <c r="C17" s="186"/>
      <c r="D17" s="186"/>
      <c r="E17" s="186"/>
      <c r="F17" s="186"/>
      <c r="G17" s="186"/>
      <c r="H17" s="186"/>
      <c r="I17" s="186"/>
      <c r="J17" s="186"/>
      <c r="K17" s="186"/>
      <c r="L17" s="182"/>
    </row>
    <row r="18" spans="1:12">
      <c r="A18" s="176"/>
      <c r="B18" s="177"/>
      <c r="C18" s="186"/>
      <c r="D18" s="186"/>
      <c r="E18" s="186"/>
      <c r="F18" s="186"/>
      <c r="G18" s="186"/>
      <c r="H18" s="186"/>
      <c r="I18" s="186"/>
      <c r="J18" s="186"/>
      <c r="K18" s="186"/>
      <c r="L18" s="182"/>
    </row>
    <row r="19" spans="1:12">
      <c r="A19" s="176"/>
      <c r="B19" s="177"/>
      <c r="C19" s="186"/>
      <c r="D19" s="186"/>
      <c r="E19" s="186"/>
      <c r="F19" s="186"/>
      <c r="G19" s="186"/>
      <c r="H19" s="186"/>
      <c r="I19" s="186"/>
      <c r="J19" s="186"/>
      <c r="K19" s="186"/>
      <c r="L19" s="182"/>
    </row>
    <row r="20" spans="1:12">
      <c r="A20" s="176"/>
      <c r="B20" s="177"/>
      <c r="C20" s="186"/>
      <c r="D20" s="186"/>
      <c r="E20" s="186"/>
      <c r="F20" s="186"/>
      <c r="G20" s="186"/>
      <c r="H20" s="186"/>
      <c r="I20" s="186"/>
      <c r="J20" s="186"/>
      <c r="K20" s="186"/>
      <c r="L20" s="182"/>
    </row>
    <row r="21" spans="1:12" ht="13" thickBot="1">
      <c r="A21" s="176"/>
      <c r="B21" s="183"/>
      <c r="C21" s="187"/>
      <c r="D21" s="187"/>
      <c r="E21" s="187"/>
      <c r="F21" s="187"/>
      <c r="G21" s="187"/>
      <c r="H21" s="187"/>
      <c r="I21" s="187"/>
      <c r="J21" s="187"/>
      <c r="K21" s="187"/>
      <c r="L21" s="184"/>
    </row>
    <row r="22" spans="1:12" ht="5.25" customHeight="1"/>
  </sheetData>
  <sheetProtection algorithmName="SHA-512" hashValue="HvvEKCE5Bo36zwkj/prncBGHgvg9BDiL5BBjRcVVRxwIocycwbfAcxHhskknE16oDnNFFaLowosS93U239jMxA==" saltValue="Ddy8cXbSgY9pAiz2VhfThA==" spinCount="100000" sheet="1" objects="1" scenarios="1"/>
  <mergeCells count="7">
    <mergeCell ref="C15:K21"/>
    <mergeCell ref="E3:K3"/>
    <mergeCell ref="B4:C4"/>
    <mergeCell ref="E4:K4"/>
    <mergeCell ref="C7:K9"/>
    <mergeCell ref="C11:K11"/>
    <mergeCell ref="C13:K13"/>
  </mergeCells>
  <hyperlinks>
    <hyperlink ref="B4" r:id="rId1" xr:uid="{00000000-0004-0000-0000-000000000000}"/>
    <hyperlink ref="B4:C4" r:id="rId2" display="www.tykoh.com" xr:uid="{050355A0-8342-4918-8AF5-465B9167A04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D173"/>
  <sheetViews>
    <sheetView showGridLines="0" showRowColHeaders="0" tabSelected="1" topLeftCell="A33" zoomScaleNormal="100" workbookViewId="0">
      <selection activeCell="D49" sqref="D49"/>
    </sheetView>
  </sheetViews>
  <sheetFormatPr defaultColWidth="0" defaultRowHeight="12.5" zeroHeight="1"/>
  <cols>
    <col min="1" max="1" width="1" style="153" customWidth="1"/>
    <col min="2" max="2" width="0.81640625" style="153" customWidth="1"/>
    <col min="3" max="3" width="15.81640625" style="153" customWidth="1"/>
    <col min="4" max="4" width="8" style="2" customWidth="1"/>
    <col min="5" max="6" width="6.81640625" style="2" customWidth="1"/>
    <col min="7" max="7" width="7.453125" style="2" customWidth="1"/>
    <col min="8" max="8" width="7.26953125" style="2" customWidth="1"/>
    <col min="9" max="14" width="8.54296875" style="2" customWidth="1"/>
    <col min="15" max="15" width="6.81640625" style="2" customWidth="1"/>
    <col min="16" max="16" width="1.453125" style="2" customWidth="1"/>
    <col min="17" max="17" width="7.453125" style="2" customWidth="1"/>
    <col min="18" max="18" width="3.453125" style="2" customWidth="1"/>
    <col min="19" max="19" width="6.81640625" style="2" customWidth="1"/>
    <col min="20" max="21" width="1.54296875" style="2" customWidth="1"/>
    <col min="22" max="22" width="23" style="2" hidden="1" customWidth="1"/>
    <col min="23" max="23" width="13.1796875" style="2" hidden="1" customWidth="1"/>
    <col min="24" max="25" width="12.453125" style="2" hidden="1" customWidth="1"/>
    <col min="26" max="26" width="12.7265625" style="2" hidden="1" customWidth="1"/>
    <col min="27" max="27" width="0" style="2" hidden="1" customWidth="1"/>
    <col min="28" max="28" width="12.453125" style="2" hidden="1" customWidth="1"/>
    <col min="29" max="39" width="0" style="2" hidden="1" customWidth="1"/>
    <col min="40" max="40" width="13.54296875" style="2" hidden="1" customWidth="1"/>
    <col min="41" max="41" width="22.1796875" style="2" hidden="1" customWidth="1"/>
    <col min="42" max="43" width="0" style="2" hidden="1" customWidth="1"/>
    <col min="44" max="44" width="19.26953125" style="2" hidden="1" customWidth="1"/>
    <col min="45" max="45" width="22.1796875" style="2" hidden="1" customWidth="1"/>
    <col min="46" max="46" width="10.54296875" style="2" hidden="1" customWidth="1"/>
    <col min="47" max="47" width="0" style="2" hidden="1" customWidth="1"/>
    <col min="48" max="48" width="10.54296875" style="2" hidden="1" customWidth="1"/>
    <col min="49" max="49" width="7.1796875" style="2" hidden="1" customWidth="1"/>
    <col min="50" max="50" width="5.26953125" style="2" hidden="1" customWidth="1"/>
    <col min="51" max="51" width="11" style="2" hidden="1" customWidth="1"/>
    <col min="52" max="52" width="7.453125" style="2" hidden="1" customWidth="1"/>
    <col min="53" max="55" width="0" style="2" hidden="1" customWidth="1"/>
    <col min="56" max="57" width="4.1796875" style="2" hidden="1" customWidth="1"/>
    <col min="58" max="58" width="25.1796875" style="2" hidden="1" customWidth="1"/>
    <col min="59" max="62" width="11.1796875" style="2" hidden="1" customWidth="1"/>
    <col min="63" max="66" width="3" style="2" hidden="1" customWidth="1"/>
    <col min="67" max="67" width="7.453125" style="2" hidden="1" customWidth="1"/>
    <col min="68" max="16384" width="0" style="2" hidden="1"/>
  </cols>
  <sheetData>
    <row r="1" spans="1:82" ht="7.5" hidden="1" customHeight="1">
      <c r="A1" s="1" t="s">
        <v>1</v>
      </c>
      <c r="B1" s="1"/>
      <c r="C1" s="2">
        <v>10</v>
      </c>
      <c r="E1" s="2" t="s">
        <v>2</v>
      </c>
      <c r="F1" s="2">
        <v>1E-3</v>
      </c>
      <c r="BE1" s="2" t="s">
        <v>3</v>
      </c>
      <c r="BF1" s="2">
        <f>VLOOKUP(B4,BP3:BQ16,2,FALSE)</f>
        <v>1</v>
      </c>
      <c r="BG1" s="3" t="s">
        <v>4</v>
      </c>
      <c r="BH1" s="3" t="s">
        <v>5</v>
      </c>
      <c r="BP1" s="4"/>
      <c r="BQ1" s="4"/>
      <c r="BR1" s="211" t="s">
        <v>6</v>
      </c>
      <c r="BS1" s="212"/>
      <c r="BT1" s="212"/>
      <c r="BU1" s="213"/>
      <c r="BV1" s="201" t="s">
        <v>7</v>
      </c>
      <c r="BW1" s="202"/>
      <c r="BX1" s="202"/>
      <c r="BY1" s="202"/>
      <c r="BZ1" s="202"/>
      <c r="CA1" s="202"/>
      <c r="CB1" s="203"/>
      <c r="CC1" s="4"/>
      <c r="CD1" s="4"/>
    </row>
    <row r="2" spans="1:82" ht="12.75" hidden="1" customHeight="1">
      <c r="A2" s="1"/>
      <c r="B2" s="1"/>
      <c r="C2" s="2"/>
      <c r="R2" s="204" t="s">
        <v>8</v>
      </c>
      <c r="S2" s="205"/>
      <c r="T2" s="204" t="s">
        <v>9</v>
      </c>
      <c r="U2" s="205"/>
      <c r="V2" s="204" t="s">
        <v>10</v>
      </c>
      <c r="W2" s="205"/>
      <c r="X2" s="5" t="s">
        <v>11</v>
      </c>
      <c r="Y2" s="204" t="s">
        <v>12</v>
      </c>
      <c r="Z2" s="205"/>
      <c r="AA2" s="204" t="s">
        <v>13</v>
      </c>
      <c r="AB2" s="205"/>
      <c r="AC2" s="204" t="s">
        <v>8</v>
      </c>
      <c r="AD2" s="205"/>
      <c r="AE2" s="7"/>
      <c r="AF2" s="7"/>
      <c r="AG2" s="7"/>
      <c r="AH2" s="7"/>
      <c r="AI2" s="7"/>
      <c r="AJ2" s="7"/>
      <c r="AK2" s="7"/>
      <c r="AL2" s="8"/>
      <c r="AM2" s="7"/>
      <c r="AN2" s="7"/>
      <c r="AO2" s="7"/>
      <c r="AP2" s="7"/>
      <c r="AQ2" s="7"/>
      <c r="AR2" s="7"/>
      <c r="AS2" s="7"/>
      <c r="AT2" s="7"/>
      <c r="AU2" s="7"/>
      <c r="BG2" s="2" t="e">
        <f>CHOOSE($BF$1-6,CC9,CC10,CC11,CC12,CC13,CC14,CC15,CC16)</f>
        <v>#VALUE!</v>
      </c>
      <c r="BH2" s="2" t="e">
        <f>CHOOSE($BF$1-6,CD9,CD10,CD11,CD12,CD13,CD14,CD15,CD16)</f>
        <v>#VALUE!</v>
      </c>
      <c r="BP2" s="9"/>
      <c r="BQ2" s="10"/>
      <c r="BR2" s="11" t="s">
        <v>14</v>
      </c>
      <c r="BS2" s="12" t="s">
        <v>15</v>
      </c>
      <c r="BT2" s="13" t="s">
        <v>11</v>
      </c>
      <c r="BU2" s="14" t="s">
        <v>11</v>
      </c>
      <c r="BV2" s="15" t="s">
        <v>14</v>
      </c>
      <c r="BW2" s="12" t="s">
        <v>9</v>
      </c>
      <c r="BX2" s="12" t="s">
        <v>10</v>
      </c>
      <c r="BY2" s="12" t="s">
        <v>12</v>
      </c>
      <c r="BZ2" s="12" t="s">
        <v>13</v>
      </c>
      <c r="CA2" s="13" t="s">
        <v>11</v>
      </c>
      <c r="CB2" s="16" t="s">
        <v>11</v>
      </c>
    </row>
    <row r="3" spans="1:82" ht="27.5" hidden="1">
      <c r="A3" s="1" t="s">
        <v>16</v>
      </c>
      <c r="B3" s="1" t="s">
        <v>3</v>
      </c>
      <c r="C3" s="17" t="s">
        <v>17</v>
      </c>
      <c r="D3" s="5" t="s">
        <v>18</v>
      </c>
      <c r="E3" s="5" t="s">
        <v>19</v>
      </c>
      <c r="F3" s="5" t="s">
        <v>20</v>
      </c>
      <c r="G3" s="5" t="s">
        <v>21</v>
      </c>
      <c r="H3" s="5" t="s">
        <v>22</v>
      </c>
      <c r="I3" s="5" t="s">
        <v>23</v>
      </c>
      <c r="J3" s="5" t="s">
        <v>24</v>
      </c>
      <c r="K3" s="5" t="s">
        <v>25</v>
      </c>
      <c r="L3" s="5" t="s">
        <v>26</v>
      </c>
      <c r="M3" s="5" t="s">
        <v>27</v>
      </c>
      <c r="N3" s="5" t="s">
        <v>28</v>
      </c>
      <c r="O3" s="5" t="s">
        <v>29</v>
      </c>
      <c r="P3" s="5" t="s">
        <v>30</v>
      </c>
      <c r="Q3" s="5" t="s">
        <v>31</v>
      </c>
      <c r="R3" s="5" t="s">
        <v>32</v>
      </c>
      <c r="S3" s="5" t="s">
        <v>33</v>
      </c>
      <c r="T3" s="5" t="s">
        <v>32</v>
      </c>
      <c r="U3" s="5" t="s">
        <v>33</v>
      </c>
      <c r="V3" s="5" t="s">
        <v>32</v>
      </c>
      <c r="W3" s="5" t="s">
        <v>33</v>
      </c>
      <c r="X3" s="18" t="s">
        <v>34</v>
      </c>
      <c r="Y3" s="5" t="s">
        <v>32</v>
      </c>
      <c r="Z3" s="5" t="s">
        <v>33</v>
      </c>
      <c r="AA3" s="5" t="s">
        <v>32</v>
      </c>
      <c r="AB3" s="5" t="s">
        <v>33</v>
      </c>
      <c r="AC3" s="5" t="s">
        <v>35</v>
      </c>
      <c r="AD3" s="5" t="s">
        <v>36</v>
      </c>
      <c r="AE3" s="5" t="s">
        <v>37</v>
      </c>
      <c r="AF3" s="5" t="s">
        <v>38</v>
      </c>
      <c r="AG3" s="5" t="s">
        <v>39</v>
      </c>
      <c r="AH3" s="5" t="s">
        <v>40</v>
      </c>
      <c r="AI3" s="5" t="s">
        <v>41</v>
      </c>
      <c r="AJ3" s="5" t="s">
        <v>42</v>
      </c>
      <c r="AK3" s="5" t="s">
        <v>43</v>
      </c>
      <c r="AL3" s="3" t="s">
        <v>4</v>
      </c>
      <c r="AM3" s="3" t="s">
        <v>5</v>
      </c>
      <c r="AN3" s="3" t="s">
        <v>166</v>
      </c>
      <c r="AO3" s="3" t="s">
        <v>167</v>
      </c>
      <c r="AP3" s="3" t="s">
        <v>168</v>
      </c>
      <c r="AQ3" s="3" t="s">
        <v>169</v>
      </c>
      <c r="AR3" s="3" t="s">
        <v>170</v>
      </c>
      <c r="AS3" s="3" t="s">
        <v>171</v>
      </c>
      <c r="AT3" s="3" t="s">
        <v>172</v>
      </c>
      <c r="AU3" s="3" t="s">
        <v>173</v>
      </c>
      <c r="AV3" s="3" t="s">
        <v>174</v>
      </c>
      <c r="AW3" s="3" t="s">
        <v>175</v>
      </c>
      <c r="AX3" s="3" t="s">
        <v>176</v>
      </c>
      <c r="AY3" s="3" t="s">
        <v>177</v>
      </c>
      <c r="AZ3" s="19" t="s">
        <v>44</v>
      </c>
      <c r="BA3" s="19" t="s">
        <v>45</v>
      </c>
      <c r="BB3" s="20" t="s">
        <v>46</v>
      </c>
      <c r="BC3" s="5" t="s">
        <v>47</v>
      </c>
      <c r="BD3" s="19" t="s">
        <v>48</v>
      </c>
      <c r="BE3" s="19" t="s">
        <v>49</v>
      </c>
      <c r="BF3" s="19" t="s">
        <v>50</v>
      </c>
      <c r="BG3" s="19" t="s">
        <v>51</v>
      </c>
      <c r="BH3" s="19" t="s">
        <v>8</v>
      </c>
      <c r="BP3" s="9" t="str">
        <f t="shared" ref="BP3:BP16" si="0">V19</f>
        <v>Call</v>
      </c>
      <c r="BQ3" s="10">
        <f t="shared" ref="BQ3:BQ16" si="1">X19</f>
        <v>1</v>
      </c>
      <c r="BR3" s="21"/>
      <c r="BS3" s="22"/>
      <c r="BT3" s="9" t="s">
        <v>52</v>
      </c>
      <c r="BU3" s="14" t="s">
        <v>53</v>
      </c>
      <c r="BV3" s="23"/>
      <c r="BW3" s="22"/>
      <c r="BX3" s="22"/>
      <c r="BY3" s="22"/>
      <c r="BZ3" s="22"/>
      <c r="CA3" s="9" t="s">
        <v>54</v>
      </c>
      <c r="CB3" s="14" t="s">
        <v>55</v>
      </c>
    </row>
    <row r="4" spans="1:82" s="4" customFormat="1" hidden="1">
      <c r="A4" s="24">
        <f>A15</f>
        <v>1</v>
      </c>
      <c r="B4" s="24" t="str">
        <f>CHOOSE(A4,C39,C40,C41,C42)</f>
        <v>Call</v>
      </c>
      <c r="C4" s="25">
        <f>CHOOSE(C75,C1,S42,S42)</f>
        <v>10</v>
      </c>
      <c r="D4" s="19">
        <f>CHOOSE(A4,D39,D40,D41,D42)</f>
        <v>100</v>
      </c>
      <c r="E4" s="19">
        <f>CHOOSE(A4,E39,E40,E41,E42)</f>
        <v>0</v>
      </c>
      <c r="F4" s="19">
        <f>CHOOSE(A4,F39,F40,F41,F42)</f>
        <v>0</v>
      </c>
      <c r="G4" s="19">
        <f>IF(vary=3,C1,CHOOSE(A4,G39,G40,G41,G42))</f>
        <v>1</v>
      </c>
      <c r="H4" s="26">
        <f>CHOOSE(C75,S39,C1,S39)</f>
        <v>0.3</v>
      </c>
      <c r="I4" s="26">
        <f>S40</f>
        <v>0</v>
      </c>
      <c r="J4" s="26">
        <f>S41</f>
        <v>0</v>
      </c>
      <c r="K4" s="19">
        <f>(LN(C4/D4)+(I4-J4+H4^2/2)*G4)/(H4*SQRT(G4))</f>
        <v>-7.5252836433134851</v>
      </c>
      <c r="L4" s="19">
        <f>K4-H4*SQRT(G4)</f>
        <v>-7.8252836433134849</v>
      </c>
      <c r="M4" s="19">
        <f>NORMSDIST(K4)</f>
        <v>2.6302998326342368E-14</v>
      </c>
      <c r="N4" s="19">
        <f>1/SQRT(2*3.14159265)*EXP(-(K4^2)/2)</f>
        <v>2.0131903853994053E-13</v>
      </c>
      <c r="O4" s="19">
        <f>NORMSDIST(L4)</f>
        <v>2.5325679531897946E-15</v>
      </c>
      <c r="P4" s="19">
        <f>NORMSDIST(-K4)</f>
        <v>0.99999999999997369</v>
      </c>
      <c r="Q4" s="19">
        <f>NORMSDIST(-L4)</f>
        <v>0.99999999999999745</v>
      </c>
      <c r="R4" s="27">
        <f>C4*EXP(-J4*G4)*M4-D4*EXP(-I4*G4)*O4</f>
        <v>9.773187944444224E-15</v>
      </c>
      <c r="S4" s="27">
        <f>D4*EXP(-I4*G4)*Q4-C4*EXP(-J4*G4)*P4</f>
        <v>90</v>
      </c>
      <c r="T4" s="19">
        <f>EXP(-J4*G4)*M4</f>
        <v>2.6302998326342368E-14</v>
      </c>
      <c r="U4" s="19">
        <f>EXP(-J4*G4)*(M4-1)</f>
        <v>-0.99999999999997369</v>
      </c>
      <c r="V4" s="19">
        <f>-C4*N4*H4*EXP(-(J4*G4))/(2*SQRT(G4))+J4*C4*M4*EXP(-(J4*G4))-I4*D4*EXP(-I4*G4)*O4</f>
        <v>-3.0197855780991079E-13</v>
      </c>
      <c r="W4" s="19">
        <f>-C4*N4*H4*EXP(-(J4*G4))/(2*SQRT(G4))-J4*C4*P4*EXP(-(J4*G4))+I4*D4*EXP(-I4*G4)*Q4</f>
        <v>-3.0197855780991079E-13</v>
      </c>
      <c r="X4" s="19">
        <f>N4*EXP(-J4*G4)/(C4*H4*SQRT(G4))</f>
        <v>6.7106346179980173E-14</v>
      </c>
      <c r="Y4" s="19">
        <f>C4*SQRT(G4)*N4*EXP(-J4*G4)</f>
        <v>2.0131903853994052E-12</v>
      </c>
      <c r="Z4" s="19">
        <f>Y4</f>
        <v>2.0131903853994052E-12</v>
      </c>
      <c r="AA4" s="19">
        <f>D4*G4*EXP(-G4*I4)*O4</f>
        <v>2.5325679531897945E-13</v>
      </c>
      <c r="AB4" s="19">
        <f>-D4*G4*EXP(-I4*G4)*Q4</f>
        <v>-99.999999999999744</v>
      </c>
      <c r="AC4" s="28">
        <f>EXP(-I4*G4)*M4</f>
        <v>2.6302998326342368E-14</v>
      </c>
      <c r="AD4" s="28">
        <f>EXP(-I4*G4)*P4</f>
        <v>0.99999999999997369</v>
      </c>
      <c r="AE4" s="25">
        <f>(I4-q-H4^2/2)/H4^2</f>
        <v>-0.5</v>
      </c>
      <c r="AF4" s="25">
        <f>SQRT(AE4^2+2*I4/H4^2)</f>
        <v>0.5</v>
      </c>
      <c r="AG4" s="25">
        <f>LN(C4/K)/(H4*SQRT(G4))+(1+AE4)*H4*SQRT(G4)</f>
        <v>-7.5252836433134851</v>
      </c>
      <c r="AH4" s="25" t="e">
        <f>LN(C4/H)/(H4*SQRT(G4))+(1+AE4)*H4*SQRT(G4)</f>
        <v>#DIV/0!</v>
      </c>
      <c r="AI4" s="25" t="e">
        <f>LN(H^2/(C4*K))/(H4*SQRT(G4))+(1+AE4)*H4*SQRT(G4)</f>
        <v>#NUM!</v>
      </c>
      <c r="AJ4" s="25" t="e">
        <f>LN(H/C4)/(H4*SQRT(G4))+(1+AE4)*H4*SQRT(G4)</f>
        <v>#NUM!</v>
      </c>
      <c r="AK4" s="25" t="e">
        <f>LN(H/C4)/(H4*SQRT(G4))+AF4*H4*SQRT(G4)</f>
        <v>#NUM!</v>
      </c>
      <c r="AL4" s="25" t="e">
        <f>BG2</f>
        <v>#VALUE!</v>
      </c>
      <c r="AM4" s="25" t="e">
        <f>BH2</f>
        <v>#VALUE!</v>
      </c>
      <c r="AN4" s="25" t="e">
        <f>AM4*AG4</f>
        <v>#VALUE!</v>
      </c>
      <c r="AO4" s="25" t="e">
        <f>NORMSDIST(AN4)</f>
        <v>#VALUE!</v>
      </c>
      <c r="AP4" s="25" t="e">
        <f>NORMSDIST(AN4-AM4*H4*SQRT(G4))</f>
        <v>#VALUE!</v>
      </c>
      <c r="AQ4" s="25" t="e">
        <f>AM4*AH4</f>
        <v>#VALUE!</v>
      </c>
      <c r="AR4" s="25" t="e">
        <f>NORMSDIST(AQ4)</f>
        <v>#VALUE!</v>
      </c>
      <c r="AS4" s="25" t="e">
        <f>NORMSDIST(AQ4-AM4*H4*SQRT(G4))</f>
        <v>#VALUE!</v>
      </c>
      <c r="AT4" s="25" t="e">
        <f>AL4*AI4</f>
        <v>#VALUE!</v>
      </c>
      <c r="AU4" s="25" t="e">
        <f>NORMSDIST(AT4)</f>
        <v>#VALUE!</v>
      </c>
      <c r="AV4" s="25" t="e">
        <f>AL4*AJ4</f>
        <v>#VALUE!</v>
      </c>
      <c r="AW4" s="25" t="e">
        <f>NORMSDIST(AV4)</f>
        <v>#VALUE!</v>
      </c>
      <c r="AX4" s="25" t="e">
        <f>NORMSDIST(AT4-AL4*H4*SQRT(G4))</f>
        <v>#VALUE!</v>
      </c>
      <c r="AY4" s="25" t="e">
        <f>NORMSDIST(AV4-AL4*H4*SQRT(G4))</f>
        <v>#VALUE!</v>
      </c>
      <c r="AZ4" s="19" t="e">
        <f>AM4*C4*EXP(-q*G4)*AO4-AM4*K*EXP(-I4*G4)*AP4</f>
        <v>#VALUE!</v>
      </c>
      <c r="BA4" s="19" t="e">
        <f>AM4*C4*EXP(-q*G4)*AR4-AM4*K*EXP(-I4*G4)*AS4</f>
        <v>#VALUE!</v>
      </c>
      <c r="BB4" s="19" t="e">
        <f>AM4*C4*EXP(-q*G4)*(H/C4)^(2*(AE4+1))*AU4-AM4*K*EXP(-I4*G4)*(H/C4)^(2*AE4)*AX4</f>
        <v>#VALUE!</v>
      </c>
      <c r="BC4" s="19" t="e">
        <f>AM4*C4*EXP(-q*G4)*(H/C4)^(2*(AE4+1))*AW4-AM4*K*EXP(-I4*G4)*(H/C4)^(2*AE4)*AY4</f>
        <v>#VALUE!</v>
      </c>
      <c r="BD4" s="19" t="e">
        <f>F4*EXP(-I4*G4)*(NORMSDIST(AL4*AH4-AL4*H4*SQRT(G4))-(H/C4)^(2*AE4)*AY4)</f>
        <v>#VALUE!</v>
      </c>
      <c r="BE4" s="19" t="e">
        <f>F4*((H/C4)^(AE4+AF4)*NORMSDIST(AL4*AK4)+(H/C4)^(AE4-AF4)*NORMSDIST(AL4*AK4-2*AL4*AF4*H4*SQRT(G4)))</f>
        <v>#NUM!</v>
      </c>
      <c r="BF4" s="19">
        <f>IF(AND(BF1=7,C4&gt;H),1,0)+IF(AND(BF1=8,C4&gt;H),1,0)+IF(AND(BF1=11,C4&lt;H),1,0)+IF(AND(BF1=12,C4&lt;H),1,0)</f>
        <v>0</v>
      </c>
      <c r="BG4" s="19">
        <f>IF(AND(BF1=9,C4&gt;H),1,0)+IF(AND(BF1=10,C4&gt;H),1,0)+IF(AND(BF1=13,C4&lt;H),1,0)+IF(AND(BF1=14,C4&lt;H),1,0)</f>
        <v>0</v>
      </c>
      <c r="BH4" s="19">
        <f>CHOOSE(BF1,0,0,0,0,0,0,cuo,puo,cui,pui,cdo,pdo,cdi,pdi)</f>
        <v>0</v>
      </c>
      <c r="BP4" s="9" t="str">
        <f t="shared" si="0"/>
        <v>Put</v>
      </c>
      <c r="BQ4" s="10">
        <f t="shared" si="1"/>
        <v>2</v>
      </c>
      <c r="BR4" s="21"/>
      <c r="BS4" s="22"/>
      <c r="BT4" s="9"/>
      <c r="BU4" s="14"/>
      <c r="BV4" s="23"/>
      <c r="BW4" s="22"/>
      <c r="BX4" s="22"/>
      <c r="BY4" s="22"/>
      <c r="BZ4" s="22"/>
      <c r="CA4" s="9"/>
      <c r="CB4" s="14"/>
      <c r="CC4" s="2"/>
      <c r="CD4" s="2"/>
    </row>
    <row r="5" spans="1:82" s="4" customFormat="1" ht="12.75" hidden="1" customHeight="1">
      <c r="A5" s="24"/>
      <c r="B5" s="24"/>
      <c r="C5" s="29" t="s">
        <v>56</v>
      </c>
      <c r="F5" s="30"/>
      <c r="G5" s="30"/>
      <c r="H5" s="31"/>
      <c r="M5" s="32"/>
      <c r="N5" s="33"/>
      <c r="O5" s="33"/>
      <c r="P5" s="32"/>
      <c r="Q5" s="33"/>
      <c r="R5" s="201"/>
      <c r="S5" s="203"/>
      <c r="Y5" s="30"/>
      <c r="Z5" s="30"/>
      <c r="AC5" s="214" t="s">
        <v>15</v>
      </c>
      <c r="AD5" s="215"/>
      <c r="BP5" s="9" t="str">
        <f t="shared" si="0"/>
        <v>Asset</v>
      </c>
      <c r="BQ5" s="10">
        <f t="shared" si="1"/>
        <v>3</v>
      </c>
      <c r="BR5" s="21"/>
      <c r="BS5" s="22"/>
      <c r="BT5" s="9"/>
      <c r="BU5" s="14"/>
      <c r="BV5" s="23"/>
      <c r="BW5" s="22"/>
      <c r="BX5" s="22"/>
      <c r="BY5" s="22"/>
      <c r="BZ5" s="22"/>
      <c r="CA5" s="9"/>
      <c r="CB5" s="14"/>
      <c r="CC5" s="2"/>
      <c r="CD5" s="2"/>
    </row>
    <row r="6" spans="1:82" s="4" customFormat="1" hidden="1">
      <c r="A6" s="24"/>
      <c r="B6" s="24"/>
      <c r="C6" s="34">
        <f>CHOOSE(D75,0,epsilon,0,0,0,0)+C4</f>
        <v>10</v>
      </c>
      <c r="D6" s="35">
        <f>K</f>
        <v>100</v>
      </c>
      <c r="E6" s="35">
        <f>H</f>
        <v>0</v>
      </c>
      <c r="F6" s="36">
        <f>F4</f>
        <v>0</v>
      </c>
      <c r="G6" s="36">
        <f>CHOOSE(D75,0,0,0,epsilon,0,0)+G4</f>
        <v>1</v>
      </c>
      <c r="H6" s="37">
        <f>CHOOSE(D75,0,0,0,0,epsilon,0)+H4</f>
        <v>0.3</v>
      </c>
      <c r="I6" s="37">
        <f>CHOOSE(D75,0,0,0,0,0,epsilon)+I4</f>
        <v>0</v>
      </c>
      <c r="J6" s="35">
        <f>q</f>
        <v>0</v>
      </c>
      <c r="K6" s="19">
        <f>(LN(C6/D6)+(I6-J6+H6^2/2)*G6)/(H6*SQRT(G6))</f>
        <v>-7.5252836433134851</v>
      </c>
      <c r="L6" s="19">
        <f>K6-H6*SQRT(G6)</f>
        <v>-7.8252836433134849</v>
      </c>
      <c r="M6" s="19">
        <f>NORMSDIST(K6)</f>
        <v>2.6302998326342368E-14</v>
      </c>
      <c r="N6" s="19">
        <f>1/SQRT(2*3.14159265)*EXP(-(K6^2)/2)</f>
        <v>2.0131903853994053E-13</v>
      </c>
      <c r="O6" s="19">
        <f>NORMSDIST(L6)</f>
        <v>2.5325679531897946E-15</v>
      </c>
      <c r="P6" s="19">
        <f>NORMSDIST(-K6)</f>
        <v>0.99999999999997369</v>
      </c>
      <c r="Q6" s="38">
        <f>NORMSDIST(-L6)</f>
        <v>0.99999999999999745</v>
      </c>
      <c r="R6" s="39">
        <f>C6*EXP(-J6*G6)*M6-D6*EXP(-I6*G6)*O6</f>
        <v>9.773187944444224E-15</v>
      </c>
      <c r="S6" s="40">
        <f>D6*EXP(-I6*G6)*Q6-C6*EXP(-J6*G6)*P6</f>
        <v>90</v>
      </c>
      <c r="T6" s="4" t="s">
        <v>57</v>
      </c>
      <c r="AC6" s="28">
        <f>EXP(-I6*G6)*M6</f>
        <v>2.6302998326342368E-14</v>
      </c>
      <c r="AD6" s="28">
        <f>EXP(-I6*G6)*P6</f>
        <v>0.99999999999997369</v>
      </c>
      <c r="AE6" s="25">
        <f>(I6-q-H6^2/2)/H6^2</f>
        <v>-0.5</v>
      </c>
      <c r="AF6" s="25">
        <f>SQRT(AE6^2+2*I6/H6^2)</f>
        <v>0.5</v>
      </c>
      <c r="AG6" s="25">
        <f>LN(C6/K)/(H6*SQRT(G6))+(1+AE6)*H6*SQRT(G6)</f>
        <v>-7.5252836433134851</v>
      </c>
      <c r="AH6" s="25" t="e">
        <f>LN(C6/H)/(H6*SQRT(G6))+(1+AE6)*H6*SQRT(G6)</f>
        <v>#DIV/0!</v>
      </c>
      <c r="AI6" s="25" t="e">
        <f>LN(H^2/(C6*K))/(H6*SQRT(G6))+(1+AE6)*H6*SQRT(G6)</f>
        <v>#NUM!</v>
      </c>
      <c r="AJ6" s="25" t="e">
        <f>LN(H/C6)/(H6*SQRT(G6))+(1+AE6)*H6*SQRT(G6)</f>
        <v>#NUM!</v>
      </c>
      <c r="AK6" s="25" t="e">
        <f>LN(H/C6)/(H6*SQRT(G6))+AF6*H6*SQRT(G6)</f>
        <v>#NUM!</v>
      </c>
      <c r="AL6" s="25" t="e">
        <f>AL4</f>
        <v>#VALUE!</v>
      </c>
      <c r="AM6" s="25" t="e">
        <f>AM4</f>
        <v>#VALUE!</v>
      </c>
      <c r="AN6" s="25" t="e">
        <f>AM6*AG6</f>
        <v>#VALUE!</v>
      </c>
      <c r="AO6" s="25" t="e">
        <f>NORMSDIST(AN6)</f>
        <v>#VALUE!</v>
      </c>
      <c r="AP6" s="25" t="e">
        <f>NORMSDIST(AN6-AM6*H6*SQRT(G6))</f>
        <v>#VALUE!</v>
      </c>
      <c r="AQ6" s="25" t="e">
        <f>AM6*AH6</f>
        <v>#VALUE!</v>
      </c>
      <c r="AR6" s="25" t="e">
        <f>NORMSDIST(AQ6)</f>
        <v>#VALUE!</v>
      </c>
      <c r="AS6" s="25" t="e">
        <f>NORMSDIST(AQ6-AM6*H6*SQRT(G6))</f>
        <v>#VALUE!</v>
      </c>
      <c r="AT6" s="25" t="e">
        <f>AL6*AI6</f>
        <v>#VALUE!</v>
      </c>
      <c r="AU6" s="25" t="e">
        <f>NORMSDIST(AT6)</f>
        <v>#VALUE!</v>
      </c>
      <c r="AV6" s="25" t="e">
        <f>AL6*AJ6</f>
        <v>#VALUE!</v>
      </c>
      <c r="AW6" s="25" t="e">
        <f>NORMSDIST(AV6)</f>
        <v>#VALUE!</v>
      </c>
      <c r="AX6" s="25" t="e">
        <f>NORMSDIST(AT6-AL6*H6*SQRT(G6))</f>
        <v>#VALUE!</v>
      </c>
      <c r="AY6" s="25" t="e">
        <f>NORMSDIST(AV6-AL6*H6*SQRT(G6))</f>
        <v>#VALUE!</v>
      </c>
      <c r="AZ6" s="19" t="e">
        <f>AM6*C6*EXP(-q*G6)*AO6-AM6*K*EXP(-I6*G6)*AP6</f>
        <v>#VALUE!</v>
      </c>
      <c r="BA6" s="19" t="e">
        <f>AM6*C6*EXP(-q*G6)*AR6-AM6*K*EXP(-I6*G6)*AS6</f>
        <v>#VALUE!</v>
      </c>
      <c r="BB6" s="19" t="e">
        <f>AM6*C6*EXP(-q*G6)*(H/C6)^(2*(AE6+1))*AU6-AM6*K*EXP(-I6*G6)*(H/C6)^(2*AE6)*AX6</f>
        <v>#VALUE!</v>
      </c>
      <c r="BC6" s="19" t="e">
        <f>AM6*C6*EXP(-q*G6)*(H/C6)^(2*(AE6+1))*AW6-AM6*K*EXP(-I6*G6)*(H/C6)^(2*AE6)*AY6</f>
        <v>#VALUE!</v>
      </c>
      <c r="BD6" s="19" t="e">
        <f>F6*EXP(-I6*G6)*(NORMSDIST(AL6*AH6-AL6*H6*SQRT(G6))-(H/C6)^(2*AE6)*AY6)</f>
        <v>#VALUE!</v>
      </c>
      <c r="BE6" s="19" t="e">
        <f>F6*((H/C6)^(AE6+AF6)*NORMSDIST(AL6*AK6)+(H/C6)^(AE6-AF6)*NORMSDIST(AL6*AK6-2*AL6*AF6*H6*SQRT(G6)))</f>
        <v>#NUM!</v>
      </c>
      <c r="BF6" s="19">
        <f>BF4</f>
        <v>0</v>
      </c>
      <c r="BG6" s="38">
        <f>BG4</f>
        <v>0</v>
      </c>
      <c r="BH6" s="41">
        <f>CHOOSE(BF1,0,0,0,0,0,0,BS9,BS10,BS11,BS12,BS13,BS14,BS15,BS16)</f>
        <v>0</v>
      </c>
      <c r="BP6" s="9" t="str">
        <f t="shared" si="0"/>
        <v>Cash</v>
      </c>
      <c r="BQ6" s="10">
        <f t="shared" si="1"/>
        <v>4</v>
      </c>
      <c r="BR6" s="21"/>
      <c r="BS6" s="22"/>
      <c r="BT6" s="9"/>
      <c r="BU6" s="14"/>
      <c r="BV6" s="23"/>
      <c r="BW6" s="22"/>
      <c r="BX6" s="22"/>
      <c r="BY6" s="22"/>
      <c r="BZ6" s="22"/>
      <c r="CA6" s="9"/>
      <c r="CB6" s="14"/>
      <c r="CC6" s="2"/>
      <c r="CD6" s="2"/>
    </row>
    <row r="7" spans="1:82" s="4" customFormat="1" hidden="1">
      <c r="A7" s="24"/>
      <c r="B7" s="24"/>
      <c r="H7" s="42"/>
      <c r="R7" s="43">
        <f>(R6-R4)/epsilon</f>
        <v>0</v>
      </c>
      <c r="S7" s="44">
        <f>(S6-S4)/epsilon</f>
        <v>0</v>
      </c>
      <c r="AC7" s="28">
        <f>(AC6-AC4)/epsilon</f>
        <v>0</v>
      </c>
      <c r="AD7" s="28">
        <f>(AD6-AD4)/epsilon</f>
        <v>0</v>
      </c>
      <c r="BG7" s="4" t="s">
        <v>58</v>
      </c>
      <c r="BH7" s="41">
        <f>(BH6-barrier_prem)/epsilon</f>
        <v>0</v>
      </c>
      <c r="BP7" s="9" t="str">
        <f t="shared" si="0"/>
        <v>Call Digital</v>
      </c>
      <c r="BQ7" s="10">
        <f t="shared" si="1"/>
        <v>5</v>
      </c>
      <c r="BR7" s="21"/>
      <c r="BS7" s="22"/>
      <c r="BT7" s="9"/>
      <c r="BU7" s="14"/>
      <c r="BV7" s="23"/>
      <c r="BW7" s="22"/>
      <c r="BX7" s="22"/>
      <c r="BY7" s="22"/>
      <c r="BZ7" s="22"/>
      <c r="CA7" s="9"/>
      <c r="CB7" s="14"/>
      <c r="CC7" s="2"/>
      <c r="CD7" s="2"/>
    </row>
    <row r="8" spans="1:82" s="4" customFormat="1" ht="22.5" hidden="1">
      <c r="A8" s="24"/>
      <c r="B8" s="24"/>
      <c r="C8" s="4">
        <f>C4+epsilon</f>
        <v>10.000999999999999</v>
      </c>
      <c r="D8" s="4">
        <f>D4</f>
        <v>100</v>
      </c>
      <c r="E8" s="4">
        <f t="shared" ref="E8:J8" si="2">E4</f>
        <v>0</v>
      </c>
      <c r="F8" s="4">
        <f t="shared" si="2"/>
        <v>0</v>
      </c>
      <c r="G8" s="4">
        <f t="shared" si="2"/>
        <v>1</v>
      </c>
      <c r="H8" s="4">
        <f t="shared" si="2"/>
        <v>0.3</v>
      </c>
      <c r="I8" s="4">
        <f t="shared" si="2"/>
        <v>0</v>
      </c>
      <c r="J8" s="4">
        <f t="shared" si="2"/>
        <v>0</v>
      </c>
      <c r="K8" s="19">
        <f>(LN(C8/D8)+(I8-J8+H8^2/2)*G8)/(H8*SQRT(G8))</f>
        <v>-7.5249503266457092</v>
      </c>
      <c r="L8" s="19">
        <f>K8-H8*SQRT(G8)</f>
        <v>-7.824950326645709</v>
      </c>
      <c r="M8" s="19">
        <f>NORMSDIST(K8)</f>
        <v>2.637018554385215E-14</v>
      </c>
      <c r="N8" s="19">
        <f>1/SQRT(2*3.14159265)*EXP(-(K8^2)/2)</f>
        <v>2.0182463020720552E-13</v>
      </c>
      <c r="O8" s="19">
        <f>NORMSDIST(L8)</f>
        <v>2.5392870110117347E-15</v>
      </c>
      <c r="P8" s="19">
        <f>NORMSDIST(-K8)</f>
        <v>0.99999999999997358</v>
      </c>
      <c r="Q8" s="19">
        <f>NORMSDIST(-L8)</f>
        <v>0.99999999999999745</v>
      </c>
      <c r="R8" s="45"/>
      <c r="S8" s="45"/>
      <c r="T8" s="4" t="s">
        <v>59</v>
      </c>
      <c r="AC8" s="28">
        <f>EXP(-I8*G8)*M8</f>
        <v>2.637018554385215E-14</v>
      </c>
      <c r="AD8" s="28">
        <f>EXP(-I8*G8)*P8</f>
        <v>0.99999999999997358</v>
      </c>
      <c r="BH8" s="41"/>
      <c r="BP8" s="9" t="str">
        <f t="shared" si="0"/>
        <v>Put Digital</v>
      </c>
      <c r="BQ8" s="10">
        <f t="shared" si="1"/>
        <v>6</v>
      </c>
      <c r="BR8" s="21"/>
      <c r="BS8" s="22"/>
      <c r="BT8" s="9"/>
      <c r="BU8" s="46"/>
      <c r="BV8" s="23"/>
      <c r="BW8" s="22"/>
      <c r="BX8" s="22"/>
      <c r="BY8" s="22"/>
      <c r="BZ8" s="22"/>
      <c r="CA8" s="9"/>
      <c r="CB8" s="46"/>
      <c r="CC8" s="47" t="s">
        <v>4</v>
      </c>
      <c r="CD8" s="48" t="s">
        <v>5</v>
      </c>
    </row>
    <row r="9" spans="1:82" s="4" customFormat="1" hidden="1">
      <c r="A9" s="24"/>
      <c r="B9" s="24"/>
      <c r="C9" s="4">
        <f>C4-epsilon</f>
        <v>9.9990000000000006</v>
      </c>
      <c r="D9" s="4">
        <f>D4</f>
        <v>100</v>
      </c>
      <c r="E9" s="4">
        <f t="shared" ref="E9:J9" si="3">E4</f>
        <v>0</v>
      </c>
      <c r="F9" s="4">
        <f t="shared" si="3"/>
        <v>0</v>
      </c>
      <c r="G9" s="4">
        <f t="shared" si="3"/>
        <v>1</v>
      </c>
      <c r="H9" s="4">
        <f t="shared" si="3"/>
        <v>0.3</v>
      </c>
      <c r="I9" s="4">
        <f t="shared" si="3"/>
        <v>0</v>
      </c>
      <c r="J9" s="4">
        <f t="shared" si="3"/>
        <v>0</v>
      </c>
      <c r="K9" s="19">
        <f>(LN(C9/D9)+(I9-J9+H9^2/2)*G9)/(H9*SQRT(G9))</f>
        <v>-7.525616993314598</v>
      </c>
      <c r="L9" s="19">
        <f>K9-H9*SQRT(G9)</f>
        <v>-7.8256169933145978</v>
      </c>
      <c r="M9" s="19">
        <f>NORMSDIST(K9)</f>
        <v>2.6235972729690963E-14</v>
      </c>
      <c r="N9" s="19">
        <f>1/SQRT(2*3.14159265)*EXP(-(K9^2)/2)</f>
        <v>2.0081464074666899E-13</v>
      </c>
      <c r="O9" s="19">
        <f>NORMSDIST(L9)</f>
        <v>2.5258657285181407E-15</v>
      </c>
      <c r="P9" s="19">
        <f>NORMSDIST(-K9)</f>
        <v>0.9999999999999738</v>
      </c>
      <c r="Q9" s="19">
        <f>NORMSDIST(-L9)</f>
        <v>0.99999999999999745</v>
      </c>
      <c r="R9" s="45"/>
      <c r="S9" s="45"/>
      <c r="T9" s="4" t="s">
        <v>60</v>
      </c>
      <c r="AC9" s="28">
        <f>EXP(-I9*G9)*M9</f>
        <v>2.6235972729690963E-14</v>
      </c>
      <c r="AD9" s="28">
        <f>EXP(-I9*G9)*P9</f>
        <v>0.9999999999999738</v>
      </c>
      <c r="BH9" s="41"/>
      <c r="BP9" s="49" t="str">
        <f t="shared" si="0"/>
        <v>Call up and out</v>
      </c>
      <c r="BQ9" s="50">
        <f t="shared" si="1"/>
        <v>7</v>
      </c>
      <c r="BR9" s="51" t="e">
        <f>IF(BF4=1,rebate,IF(K&gt;H,BE4,AZ4-BA4+BB4-BC4+BE4))</f>
        <v>#NUM!</v>
      </c>
      <c r="BS9" s="22" t="e">
        <f>IF(BF6=1,rebate,IF(K&gt;H,BE6,AZ6-BA6+BB6-BC6+BE6))</f>
        <v>#NUM!</v>
      </c>
      <c r="BT9" s="9" t="e">
        <f>IF(BF11=1,rebate,IF(K&gt;H,BE11,AZ11-BA11+BB11-BC11+BE11))</f>
        <v>#NUM!</v>
      </c>
      <c r="BU9" s="46" t="e">
        <f>IF(BF12=1,rebate,IF(K&gt;H,BE12,AZ12-BA12+BB12-BC12+BE12))</f>
        <v>#NUM!</v>
      </c>
      <c r="BV9" s="52" t="e">
        <f>IF(BF15=1,rebate_2,IF(K_2&gt;H_2,BE15,AZ15-BA15+BB15-BC15+BE15))</f>
        <v>#NUM!</v>
      </c>
      <c r="BW9" s="53" t="e">
        <f>IF(BF19=1,rebate_2,IF(K_2&gt;H_2,BE19,AZ19-BA19+BB19-BC19+BE19))</f>
        <v>#NUM!</v>
      </c>
      <c r="BX9" s="54" t="e">
        <f>IF(BF20=1,rebate_2,IF(K_2&gt;H_2,BE20,AZ20-BA20+BB20-BC20+BE20))</f>
        <v>#NUM!</v>
      </c>
      <c r="BY9" s="54" t="e">
        <f>IF(BF21=1,rebate_2,IF(K_2&gt;H_2,BE21,AZ21-BA21+BB21-BC21+BE21))</f>
        <v>#NUM!</v>
      </c>
      <c r="BZ9" s="54" t="e">
        <f>IF(BF22=1,rebate_2,IF(K_2&gt;H_2,BE22,AZ22-BA22+BB22-BC22+BE22))</f>
        <v>#VALUE!</v>
      </c>
      <c r="CA9" s="53" t="e">
        <f>IF(BF16=1,rebate_2,IF(K_2&gt;H_2,BE16,AZ16-BA16+BB16-BC16+BE16))</f>
        <v>#NUM!</v>
      </c>
      <c r="CB9" s="46" t="e">
        <f>IF(BF17=1,rebate_2,IF(K_2&gt;H_2,BE17,AZ17-BA17+BB17-BC17+BE17))</f>
        <v>#NUM!</v>
      </c>
      <c r="CC9" s="53">
        <v>-1</v>
      </c>
      <c r="CD9" s="9">
        <v>1</v>
      </c>
    </row>
    <row r="10" spans="1:82" ht="12.75" hidden="1" customHeight="1">
      <c r="A10" s="24"/>
      <c r="B10" s="1"/>
      <c r="C10" s="2"/>
      <c r="H10" s="42"/>
      <c r="I10" s="4"/>
      <c r="J10" s="4"/>
      <c r="K10" s="4"/>
      <c r="R10" s="55"/>
      <c r="S10" s="55"/>
      <c r="AC10" s="209" t="s">
        <v>11</v>
      </c>
      <c r="AD10" s="210"/>
      <c r="AK10" s="4"/>
      <c r="AL10" s="4"/>
      <c r="AM10" s="4"/>
      <c r="BH10" s="41"/>
      <c r="BP10" s="49" t="str">
        <f t="shared" si="0"/>
        <v>Put up and out</v>
      </c>
      <c r="BQ10" s="50">
        <f t="shared" si="1"/>
        <v>8</v>
      </c>
      <c r="BR10" s="51" t="e">
        <f>IF(BF4=1,rebate,IF(K&gt;H,BA4-BC4+BE4,AZ4-BB4+BE4))</f>
        <v>#VALUE!</v>
      </c>
      <c r="BS10" s="22" t="e">
        <f>IF(BF6=1,rebate,IF(K&gt;H,BA6-BC6+BE6,AZ6-BB6+BE6))</f>
        <v>#VALUE!</v>
      </c>
      <c r="BT10" s="9" t="e">
        <f>IF(BF11=1,rebate,IF(K&gt;H,BA11-BC11+BE11,AZ11-BB11+BE11))</f>
        <v>#VALUE!</v>
      </c>
      <c r="BU10" s="46" t="e">
        <f>IF(BF12=1,rebate,IF(K&gt;H,BA12-BC12+BE12,AZ12-BB12+BE12))</f>
        <v>#VALUE!</v>
      </c>
      <c r="BV10" s="52" t="e">
        <f>IF(BF15=1,rebate_2,IF(K_2&gt;H_2,BA15-BC15+BE15,AZ15-BB15+BE15))</f>
        <v>#VALUE!</v>
      </c>
      <c r="BW10" s="53" t="e">
        <f>IF(BF19=1,rebate_2,IF(K_2&gt;H_2,BA19-BC19+BE19,AZ19-BB19+BE19))</f>
        <v>#VALUE!</v>
      </c>
      <c r="BX10" s="54" t="e">
        <f>IF(BF20=1,rebate_2,IF(K_2&gt;H_2,BA20-BC20+BE20,AZ20-BB20+BE20))</f>
        <v>#VALUE!</v>
      </c>
      <c r="BY10" s="54" t="e">
        <f>IF(BF21=1,rebate_2,IF(K_2&gt;H_2,BA21-BC21+BE21,AZ21-BB21+BE21))</f>
        <v>#VALUE!</v>
      </c>
      <c r="BZ10" s="54" t="e">
        <f>IF(BF22=1,rebate_2,IF(K_2&gt;H_2,BA22-BC22+BE22,AZ22-BB22+BE22))</f>
        <v>#VALUE!</v>
      </c>
      <c r="CA10" s="53" t="e">
        <f>IF(BF16=1,rebate_2,IF(K_2&gt;H_2,BA16-BC16+BE16,AZ16-BB16+BE16))</f>
        <v>#VALUE!</v>
      </c>
      <c r="CB10" s="46" t="e">
        <f>IF(BF17=1,rebate_2,IF(K_2&gt;H_2,BA17-BC17+BE17,AZ17-BB17+BE17))</f>
        <v>#VALUE!</v>
      </c>
      <c r="CC10" s="53">
        <v>-1</v>
      </c>
      <c r="CD10" s="9">
        <v>-1</v>
      </c>
    </row>
    <row r="11" spans="1:82" hidden="1">
      <c r="A11" s="24"/>
      <c r="B11" s="1"/>
      <c r="C11" s="56">
        <f>C4-epsilon</f>
        <v>9.9990000000000006</v>
      </c>
      <c r="D11" s="56">
        <f>D4</f>
        <v>100</v>
      </c>
      <c r="E11" s="56">
        <f t="shared" ref="E11:J11" si="4">E4</f>
        <v>0</v>
      </c>
      <c r="F11" s="56">
        <f t="shared" si="4"/>
        <v>0</v>
      </c>
      <c r="G11" s="56">
        <f t="shared" si="4"/>
        <v>1</v>
      </c>
      <c r="H11" s="56">
        <f t="shared" si="4"/>
        <v>0.3</v>
      </c>
      <c r="I11" s="56">
        <f t="shared" si="4"/>
        <v>0</v>
      </c>
      <c r="J11" s="56">
        <f t="shared" si="4"/>
        <v>0</v>
      </c>
      <c r="K11" s="57">
        <f>(LN(C11/D11)+(I11-J11+H11^2/2)*G11)/(H11*SQRT(G11))</f>
        <v>-7.525616993314598</v>
      </c>
      <c r="L11" s="57">
        <f>K11-H11*SQRT(G11)</f>
        <v>-7.8256169933145978</v>
      </c>
      <c r="M11" s="57">
        <f>NORMSDIST(K11)</f>
        <v>2.6235972729690963E-14</v>
      </c>
      <c r="N11" s="57">
        <f>1/SQRT(2*3.14159265)*EXP(-(K11^2)/2)</f>
        <v>2.0081464074666899E-13</v>
      </c>
      <c r="O11" s="57">
        <f>NORMSDIST(L11)</f>
        <v>2.5258657285181407E-15</v>
      </c>
      <c r="P11" s="57">
        <f>NORMSDIST(-K11)</f>
        <v>0.9999999999999738</v>
      </c>
      <c r="Q11" s="57">
        <f>NORMSDIST(-L11)</f>
        <v>0.99999999999999745</v>
      </c>
      <c r="R11" s="57">
        <f>C11*EXP(-J11*G11)*M11-D11*EXP(-I11*G11)*O11</f>
        <v>9.7469184723659174E-15</v>
      </c>
      <c r="S11" s="57">
        <f>D11*EXP(-I11*G11)*Q11-C11*EXP(-J11*G11)*P11</f>
        <v>90.001000000000005</v>
      </c>
      <c r="AC11" s="58">
        <f>(AC8+AC9-2*AC4)/epsilon^2</f>
        <v>1.6162085837462891E-13</v>
      </c>
      <c r="AD11" s="59">
        <f>(AD8+AD9-2*AD4)/epsilon^2</f>
        <v>0</v>
      </c>
      <c r="AE11" s="60">
        <f>(I11-q-H11^2/2)/H11^2</f>
        <v>-0.5</v>
      </c>
      <c r="AF11" s="17">
        <f>SQRT(AE11^2+2*I11/H11^2)</f>
        <v>0.5</v>
      </c>
      <c r="AG11" s="17">
        <f>LN(C11/K)/(H11*SQRT(G11))+(1+AE11)*H11*SQRT(G11)</f>
        <v>-7.5256169933145971</v>
      </c>
      <c r="AH11" s="17" t="e">
        <f>LN(C11/H)/(H11*SQRT(G11))+(1+AE11)*H11*SQRT(G11)</f>
        <v>#DIV/0!</v>
      </c>
      <c r="AI11" s="17" t="e">
        <f>LN(H^2/(C11*K))/(H11*SQRT(G11))+(1+AE11)*H11*SQRT(G11)</f>
        <v>#NUM!</v>
      </c>
      <c r="AJ11" s="17" t="e">
        <f>LN(H/C11)/(H11*SQRT(G11))+(1+AE11)*H11*SQRT(G11)</f>
        <v>#NUM!</v>
      </c>
      <c r="AK11" s="25" t="e">
        <f>LN(H/C11)/(H11*SQRT(G11))+AF11*H11*SQRT(G11)</f>
        <v>#NUM!</v>
      </c>
      <c r="AL11" s="25" t="e">
        <f>AL6</f>
        <v>#VALUE!</v>
      </c>
      <c r="AM11" s="25" t="e">
        <f>AM6</f>
        <v>#VALUE!</v>
      </c>
      <c r="AN11" s="17" t="e">
        <f>AM11*AG11</f>
        <v>#VALUE!</v>
      </c>
      <c r="AO11" s="17" t="e">
        <f>NORMSDIST(AN11)</f>
        <v>#VALUE!</v>
      </c>
      <c r="AP11" s="17" t="e">
        <f>NORMSDIST(AN11-AM11*H11*SQRT(G11))</f>
        <v>#VALUE!</v>
      </c>
      <c r="AQ11" s="17" t="e">
        <f>AM11*AH11</f>
        <v>#VALUE!</v>
      </c>
      <c r="AR11" s="17" t="e">
        <f>NORMSDIST(AQ11)</f>
        <v>#VALUE!</v>
      </c>
      <c r="AS11" s="17" t="e">
        <f>NORMSDIST(AQ11-AM11*H11*SQRT(G11))</f>
        <v>#VALUE!</v>
      </c>
      <c r="AT11" s="17" t="e">
        <f>AL11*AI11</f>
        <v>#VALUE!</v>
      </c>
      <c r="AU11" s="17" t="e">
        <f>NORMSDIST(AT11)</f>
        <v>#VALUE!</v>
      </c>
      <c r="AV11" s="17" t="e">
        <f>AL11*AJ11</f>
        <v>#VALUE!</v>
      </c>
      <c r="AW11" s="17" t="e">
        <f>NORMSDIST(AV11)</f>
        <v>#VALUE!</v>
      </c>
      <c r="AX11" s="17" t="e">
        <f>NORMSDIST(AT11-AL11*H11*SQRT(G11))</f>
        <v>#VALUE!</v>
      </c>
      <c r="AY11" s="17" t="e">
        <f>NORMSDIST(AV11-AL11*H11*SQRT(G11))</f>
        <v>#VALUE!</v>
      </c>
      <c r="AZ11" s="5" t="e">
        <f>AM11*C11*EXP(-q*G11)*AO11-AM11*K*EXP(-I11*G11)*AP11</f>
        <v>#VALUE!</v>
      </c>
      <c r="BA11" s="5" t="e">
        <f>AM11*C11*EXP(-q*G11)*AR11-AM11*K*EXP(-I11*G11)*AS11</f>
        <v>#VALUE!</v>
      </c>
      <c r="BB11" s="5" t="e">
        <f>AM11*C11*EXP(-q*G11)*(H/C11)^(2*(AE11+1))*AU11-AM11*K*EXP(-I11*G11)*(H/C11)^(2*AE11)*AX11</f>
        <v>#VALUE!</v>
      </c>
      <c r="BC11" s="5" t="e">
        <f>AM11*C11*EXP(-q*G11)*(H/C11)^(2*(AE11+1))*AW11-AM11*K*EXP(-I11*G11)*(H/C11)^(2*AE11)*AY11</f>
        <v>#VALUE!</v>
      </c>
      <c r="BD11" s="5" t="e">
        <f>F11*EXP(-I11*G11)*(NORMSDIST(AL11*AH11-AL11*H11*SQRT(G11))-(H/C11)^(2*AE11)*AY11)</f>
        <v>#VALUE!</v>
      </c>
      <c r="BE11" s="5" t="e">
        <f>F11*((H/C11)^(AE11+AF11)*NORMSDIST(AL11*AK11)+(H/C11)^(AE11-AF11)*NORMSDIST(AL11*AK11-2*AL11*AF11*H11*SQRT(G11)))</f>
        <v>#NUM!</v>
      </c>
      <c r="BF11" s="5">
        <f>BF6</f>
        <v>0</v>
      </c>
      <c r="BG11" s="6">
        <f>BG6</f>
        <v>0</v>
      </c>
      <c r="BH11" s="61">
        <f>CHOOSE(BF1,0,0,0,0,0,0,BT9,BT10,BT11,BT12,BT13,BT14,BT15,BT16)</f>
        <v>0</v>
      </c>
      <c r="BP11" s="49" t="str">
        <f t="shared" si="0"/>
        <v>Call up and in</v>
      </c>
      <c r="BQ11" s="50">
        <f t="shared" si="1"/>
        <v>9</v>
      </c>
      <c r="BR11" s="51" t="e">
        <f>IF(BG4=1,R4,IF(K&gt;H,AZ4+BD4,BA4-BB4+BC4+BD4))</f>
        <v>#VALUE!</v>
      </c>
      <c r="BS11" s="22" t="e">
        <f>IF(BG6=1,R6,IF(K&gt;H,AZ6+BD6,BA6-BB6+BC6+BD6))</f>
        <v>#VALUE!</v>
      </c>
      <c r="BT11" s="9" t="e">
        <f>IF(BG11=1,R11,IF(K&gt;H,AZ11+BD11,BA11-BB11+BC11+BD11))</f>
        <v>#VALUE!</v>
      </c>
      <c r="BU11" s="46" t="e">
        <f>IF(BG12=1,R12,IF(K&gt;H,AZ12+BD12,BA12-BB12+BC12+BD12))</f>
        <v>#VALUE!</v>
      </c>
      <c r="BV11" s="52" t="e">
        <f>IF(BG15=1,R15,IF(K_2&gt;H_2,AZ15+BD15,BA15-BB15+BC15+BD15))</f>
        <v>#VALUE!</v>
      </c>
      <c r="BW11" s="53" t="e">
        <f>IF(BG19=1,R19,IF(K_2&gt;H_2,AZ19+BD19,BA19-BB19+BC19+BD19))</f>
        <v>#VALUE!</v>
      </c>
      <c r="BX11" s="54" t="e">
        <f>IF(BG20=1,R19,IF(K_2&gt;H_2,AZ20+BD20,BA20-BB20+BC20+BD20))</f>
        <v>#VALUE!</v>
      </c>
      <c r="BY11" s="54" t="e">
        <f>IF(BG21=1,R19,IF(K_2&gt;H_2,AZ21+BD21,BA21-BB21+BC21+BD21))</f>
        <v>#VALUE!</v>
      </c>
      <c r="BZ11" s="54" t="e">
        <f>IF(BG22=1,R19,IF(K_2&gt;H_2,AZ22+BD22,BA22-BB22+BC22+BD22))</f>
        <v>#VALUE!</v>
      </c>
      <c r="CA11" s="53" t="e">
        <f>IF(BG16=1,R19,IF(K_2&gt;H_2,AZ16+BD16,BA16-BB16+BC16+BD16))</f>
        <v>#VALUE!</v>
      </c>
      <c r="CB11" s="46" t="e">
        <f>IF(BG17=1,R19,IF(K_2&gt;H_2,AZ17+BD17,BA17-BB17+BC17+BD17))</f>
        <v>#VALUE!</v>
      </c>
      <c r="CC11" s="53">
        <v>-1</v>
      </c>
      <c r="CD11" s="9">
        <v>1</v>
      </c>
    </row>
    <row r="12" spans="1:82" hidden="1">
      <c r="A12" s="24"/>
      <c r="B12" s="1"/>
      <c r="C12" s="56">
        <f>C4+epsilon</f>
        <v>10.000999999999999</v>
      </c>
      <c r="D12" s="56">
        <f>D11</f>
        <v>100</v>
      </c>
      <c r="E12" s="56">
        <f t="shared" ref="E12:J12" si="5">E11</f>
        <v>0</v>
      </c>
      <c r="F12" s="56">
        <f t="shared" si="5"/>
        <v>0</v>
      </c>
      <c r="G12" s="56">
        <f t="shared" si="5"/>
        <v>1</v>
      </c>
      <c r="H12" s="56">
        <f t="shared" si="5"/>
        <v>0.3</v>
      </c>
      <c r="I12" s="56">
        <f t="shared" si="5"/>
        <v>0</v>
      </c>
      <c r="J12" s="56">
        <f t="shared" si="5"/>
        <v>0</v>
      </c>
      <c r="K12" s="57">
        <f>(LN(C12/D12)+(I12-J12+H12^2/2)*G12)/(H12*SQRT(G12))</f>
        <v>-7.5249503266457092</v>
      </c>
      <c r="L12" s="57">
        <f>K12-H12*SQRT(G12)</f>
        <v>-7.824950326645709</v>
      </c>
      <c r="M12" s="57">
        <f>NORMSDIST(K12)</f>
        <v>2.637018554385215E-14</v>
      </c>
      <c r="N12" s="57">
        <f>1/SQRT(2*3.14159265)*EXP(-(K12^2)/2)</f>
        <v>2.0182463020720552E-13</v>
      </c>
      <c r="O12" s="57">
        <f>NORMSDIST(L12)</f>
        <v>2.5392870110117347E-15</v>
      </c>
      <c r="P12" s="57">
        <f>NORMSDIST(-K12)</f>
        <v>0.99999999999997358</v>
      </c>
      <c r="Q12" s="57">
        <f>NORMSDIST(-L12)</f>
        <v>0.99999999999999745</v>
      </c>
      <c r="R12" s="57">
        <f>C12*EXP(-J12*G12)*M12-D12*EXP(-I12*G12)*O12</f>
        <v>9.7995245228918729E-15</v>
      </c>
      <c r="S12" s="57">
        <f>D12*EXP(-I12*G12)*Q12-C12*EXP(-J12*G12)*P12</f>
        <v>89.999000000000009</v>
      </c>
      <c r="AE12" s="17">
        <f>(I12-q-H12^2/2)/H12^2</f>
        <v>-0.5</v>
      </c>
      <c r="AF12" s="17">
        <f>SQRT(AE12^2+2*I12/H12^2)</f>
        <v>0.5</v>
      </c>
      <c r="AG12" s="17">
        <f>LN(C12/K)/(H12*SQRT(G12))+(1+AE12)*H12*SQRT(G12)</f>
        <v>-7.5249503266457083</v>
      </c>
      <c r="AH12" s="17" t="e">
        <f>LN(C12/H)/(H12*SQRT(G12))+(1+AE12)*H12*SQRT(G12)</f>
        <v>#DIV/0!</v>
      </c>
      <c r="AI12" s="17" t="e">
        <f>LN(H^2/(C12*K))/(H12*SQRT(G12))+(1+AE12)*H12*SQRT(G12)</f>
        <v>#NUM!</v>
      </c>
      <c r="AJ12" s="17" t="e">
        <f>LN(H/C12)/(H12*SQRT(G12))+(1+AE12)*H12*SQRT(G12)</f>
        <v>#NUM!</v>
      </c>
      <c r="AK12" s="25" t="e">
        <f>LN(H/C12)/(H12*SQRT(G12))+AF12*H12*SQRT(G12)</f>
        <v>#NUM!</v>
      </c>
      <c r="AL12" s="25" t="e">
        <f>AL11</f>
        <v>#VALUE!</v>
      </c>
      <c r="AM12" s="25" t="e">
        <f>AM11</f>
        <v>#VALUE!</v>
      </c>
      <c r="AN12" s="17" t="e">
        <f>AM12*AG12</f>
        <v>#VALUE!</v>
      </c>
      <c r="AO12" s="17" t="e">
        <f>NORMSDIST(AN12)</f>
        <v>#VALUE!</v>
      </c>
      <c r="AP12" s="17" t="e">
        <f>NORMSDIST(AN12-AM12*H12*SQRT(G12))</f>
        <v>#VALUE!</v>
      </c>
      <c r="AQ12" s="17" t="e">
        <f>AM12*AH12</f>
        <v>#VALUE!</v>
      </c>
      <c r="AR12" s="17" t="e">
        <f>NORMSDIST(AQ12)</f>
        <v>#VALUE!</v>
      </c>
      <c r="AS12" s="17" t="e">
        <f>NORMSDIST(AQ12-AM12*H12*SQRT(G12))</f>
        <v>#VALUE!</v>
      </c>
      <c r="AT12" s="17" t="e">
        <f>AL12*AI12</f>
        <v>#VALUE!</v>
      </c>
      <c r="AU12" s="17" t="e">
        <f>NORMSDIST(AT12)</f>
        <v>#VALUE!</v>
      </c>
      <c r="AV12" s="17" t="e">
        <f>AL12*AJ12</f>
        <v>#VALUE!</v>
      </c>
      <c r="AW12" s="17" t="e">
        <f>NORMSDIST(AV12)</f>
        <v>#VALUE!</v>
      </c>
      <c r="AX12" s="17" t="e">
        <f>NORMSDIST(AT12-AL12*H12*SQRT(G12))</f>
        <v>#VALUE!</v>
      </c>
      <c r="AY12" s="17" t="e">
        <f>NORMSDIST(AV12-AL12*H12*SQRT(G12))</f>
        <v>#VALUE!</v>
      </c>
      <c r="AZ12" s="5" t="e">
        <f>AM12*C12*EXP(-q*G12)*AO12-AM12*K*EXP(-I12*G12)*AP12</f>
        <v>#VALUE!</v>
      </c>
      <c r="BA12" s="5" t="e">
        <f>AM12*C12*EXP(-q*G12)*AR12-AM12*K*EXP(-I12*G12)*AS12</f>
        <v>#VALUE!</v>
      </c>
      <c r="BB12" s="5" t="e">
        <f>AM12*C12*EXP(-q*G12)*(H/C12)^(2*(AE12+1))*AU12-AM12*K*EXP(-I12*G12)*(H/C12)^(2*AE12)*AX12</f>
        <v>#VALUE!</v>
      </c>
      <c r="BC12" s="5" t="e">
        <f>AM12*C12*EXP(-q*G12)*(H/C12)^(2*(AE12+1))*AW12-AM12*K*EXP(-I12*G12)*(H/C12)^(2*AE12)*AY12</f>
        <v>#VALUE!</v>
      </c>
      <c r="BD12" s="5" t="e">
        <f>F12*EXP(-I12*G12)*(NORMSDIST(AL12*AH12-AL12*H12*SQRT(G12))-(H/C12)^(2*AE12)*AY12)</f>
        <v>#VALUE!</v>
      </c>
      <c r="BE12" s="5" t="e">
        <f>F12*((H/C12)^(AE12+AF12)*NORMSDIST(AL12*AK12)+(H/C12)^(AE12-AF12)*NORMSDIST(AL12*AK12-2*AL12*AF12*H12*SQRT(G12)))</f>
        <v>#NUM!</v>
      </c>
      <c r="BF12" s="5">
        <f>BF11</f>
        <v>0</v>
      </c>
      <c r="BG12" s="6">
        <f>BG11</f>
        <v>0</v>
      </c>
      <c r="BH12" s="61">
        <f>CHOOSE(BF1,0,0,0,0,0,0,BU9,BU10,BU11,BU12,BU13,BU14,BU15,BU16)</f>
        <v>0</v>
      </c>
      <c r="BP12" s="49" t="str">
        <f t="shared" si="0"/>
        <v>Put up and in</v>
      </c>
      <c r="BQ12" s="50">
        <f t="shared" si="1"/>
        <v>10</v>
      </c>
      <c r="BR12" s="51" t="e">
        <f>IF(BG4=1,S4,IF(K&gt;H,AZ4-BA4+BC4+BD4,BB4+BD4))</f>
        <v>#VALUE!</v>
      </c>
      <c r="BS12" s="22" t="e">
        <f>IF(BG6=1,S6,IF(K&gt;H,AZ6-BA6+BC6+BD6,BB6+BD6))</f>
        <v>#VALUE!</v>
      </c>
      <c r="BT12" s="9" t="e">
        <f>IF(BG11=1,S11,IF(K&gt;H,AZ11-BA11+BC11+BD11,BB11+BD11))</f>
        <v>#VALUE!</v>
      </c>
      <c r="BU12" s="46" t="e">
        <f>IF(BG12=1,S12,IF(K&gt;H,AZ12-BA12+BC12+BD12,BB12+BD12))</f>
        <v>#VALUE!</v>
      </c>
      <c r="BV12" s="52" t="e">
        <f>IF(BG15=1,S15,IF(K_2&gt;H_2,AZ15-BA15+BC15+BD15,BB15+BD15))</f>
        <v>#VALUE!</v>
      </c>
      <c r="BW12" s="53" t="e">
        <f>IF(BG19=1,S19,IF(K_2&gt;H_2,AZ19-BA19+BC19+BD19,BB19+BD19))</f>
        <v>#VALUE!</v>
      </c>
      <c r="BX12" s="54" t="e">
        <f>IF(BG20=1,S19,IF(K_2&gt;H_2,AZ20-BA20+BC20+BD20,BB20+BD20))</f>
        <v>#VALUE!</v>
      </c>
      <c r="BY12" s="54" t="e">
        <f>IF(BG21=1,S19,IF(K_2&gt;H_2,AZ21-BA21+BC21+BD21,BB21+BD21))</f>
        <v>#VALUE!</v>
      </c>
      <c r="BZ12" s="54" t="e">
        <f>IF(BG22=1,S19,IF(K_2&gt;H_2,AZ22-BA22+BC22+BD22,BB22+BD22))</f>
        <v>#VALUE!</v>
      </c>
      <c r="CA12" s="53" t="e">
        <f>IF(BG16=1,S19,IF(K_2&gt;H_2,AZ16-BA16+BC16+BD16,BB16+BD16))</f>
        <v>#VALUE!</v>
      </c>
      <c r="CB12" s="46" t="e">
        <f>IF(BG17=1,S19,IF(K_2&gt;H_2,AZ17-BA17+BC17+BD17,BB17+BD17))</f>
        <v>#VALUE!</v>
      </c>
      <c r="CC12" s="53">
        <v>-1</v>
      </c>
      <c r="CD12" s="9">
        <v>-1</v>
      </c>
    </row>
    <row r="13" spans="1:82" hidden="1">
      <c r="A13" s="24"/>
      <c r="B13" s="1"/>
      <c r="C13" s="2"/>
      <c r="H13" s="42"/>
      <c r="I13" s="4"/>
      <c r="J13" s="4"/>
      <c r="K13" s="4"/>
      <c r="BG13" s="2" t="s">
        <v>11</v>
      </c>
      <c r="BH13" s="61">
        <f>(BH12+BH11-2*barrier_prem)/epsilon^2</f>
        <v>0</v>
      </c>
      <c r="BP13" s="49" t="str">
        <f t="shared" si="0"/>
        <v>Call down and out</v>
      </c>
      <c r="BQ13" s="50">
        <f t="shared" si="1"/>
        <v>11</v>
      </c>
      <c r="BR13" s="51" t="e">
        <f>IF(BF4=1,rebate,IF(K&gt;H,AZ4-BB4+BE4,BA4-BC4+BE4))</f>
        <v>#VALUE!</v>
      </c>
      <c r="BS13" s="22" t="e">
        <f>IF(BF6=1,rebate,IF(K&gt;H,AZ6-BB6+BE6,BA6-BC6+BE6))</f>
        <v>#VALUE!</v>
      </c>
      <c r="BT13" s="9" t="e">
        <f>IF(BF11=1,rebate,IF(K&gt;H,AZ11-BB11+BE11,BA11-BC11+BE11))</f>
        <v>#VALUE!</v>
      </c>
      <c r="BU13" s="46" t="e">
        <f>IF(BF12=1,rebate,IF(K&gt;H,AZ12-BB12+BE12,BA12-BC12+BE12))</f>
        <v>#VALUE!</v>
      </c>
      <c r="BV13" s="52" t="e">
        <f>IF(BF15=1,rebate_2,IF(K_2&gt;H_2,AZ15-BB15+BE15,BA15-BC15+BE15))</f>
        <v>#VALUE!</v>
      </c>
      <c r="BW13" s="53" t="e">
        <f>IF(BF19=1,rebate_2,IF(K_2&gt;H_2,AZ19-BB19+BE19,BA19-BC19+BE19))</f>
        <v>#VALUE!</v>
      </c>
      <c r="BX13" s="54" t="e">
        <f>IF(BF20=1,rebate_2,IF(K_2&gt;H_2,AZ20-BB20+BE20,BA20-BC20+BE20))</f>
        <v>#VALUE!</v>
      </c>
      <c r="BY13" s="54" t="e">
        <f>IF(BF21=1,rebate_2,IF(K_2&gt;H_2,AZ21-BB21+BE21,BA21-BC21+BE21))</f>
        <v>#VALUE!</v>
      </c>
      <c r="BZ13" s="54" t="e">
        <f>IF(BF22=1,rebate_2,IF(K_2&gt;H_2,AZ22-BB22+BE22,BA22-BC22+BE22))</f>
        <v>#VALUE!</v>
      </c>
      <c r="CA13" s="53" t="e">
        <f>IF(BF16=1,rebate_2,IF(K_2&gt;H_2,AZ16-BB16+BE16,BA16-BC16+BE16))</f>
        <v>#VALUE!</v>
      </c>
      <c r="CB13" s="46" t="e">
        <f>IF(BF17=1,rebate_2,IF(K_2&gt;H_2,AZ17-BB17+BE17,BA17-BC17+BE17))</f>
        <v>#VALUE!</v>
      </c>
      <c r="CC13" s="53">
        <v>1</v>
      </c>
      <c r="CD13" s="9">
        <v>1</v>
      </c>
    </row>
    <row r="14" spans="1:82" ht="22.5" hidden="1">
      <c r="A14" s="24"/>
      <c r="B14" s="1"/>
      <c r="C14" s="62" t="s">
        <v>61</v>
      </c>
      <c r="H14" s="42"/>
      <c r="I14" s="4"/>
      <c r="J14" s="4"/>
      <c r="K14" s="4"/>
      <c r="BI14" s="56" t="s">
        <v>8</v>
      </c>
      <c r="BL14" s="57" t="s">
        <v>3</v>
      </c>
      <c r="BM14" s="63" t="s">
        <v>4</v>
      </c>
      <c r="BN14" s="63" t="s">
        <v>5</v>
      </c>
      <c r="BP14" s="49" t="str">
        <f t="shared" si="0"/>
        <v>Put down and out</v>
      </c>
      <c r="BQ14" s="50">
        <f t="shared" si="1"/>
        <v>12</v>
      </c>
      <c r="BR14" s="51" t="e">
        <f>IF(BF4=1,rebate,IF(K&gt;H,AZ4-BA4+BB4-BC4+BE4,BE4))</f>
        <v>#VALUE!</v>
      </c>
      <c r="BS14" s="22" t="e">
        <f>IF(BF6=1,rebate,IF(K&gt;H,AZ6-BA6+BB6-BC6+BE6,BE6))</f>
        <v>#VALUE!</v>
      </c>
      <c r="BT14" s="9" t="e">
        <f>IF(BF11=1,rebate,IF(K&gt;H,AZ11-BA11+BB11-BC11+BE11,BE11))</f>
        <v>#VALUE!</v>
      </c>
      <c r="BU14" s="46" t="e">
        <f>IF(BF12=1,rebate,IF(K&gt;H,AZ12-BA12+BB12-BC12+BE12,BE12))</f>
        <v>#VALUE!</v>
      </c>
      <c r="BV14" s="52" t="e">
        <f>IF(BF15=1,rebate_2,IF(K_2&gt;H_2,AZ15-BA15+BB15-BC15+BE15,BE15))</f>
        <v>#VALUE!</v>
      </c>
      <c r="BW14" s="53" t="e">
        <f>IF(BF19=1,rebate_2,IF(K_2&gt;H_2,AZ19-BA19+BB19-BC19+BE19,BE19))</f>
        <v>#VALUE!</v>
      </c>
      <c r="BX14" s="54" t="e">
        <f>IF(BF20=1,rebate_2,IF(K_2&gt;H_2,AZ20-BA20+BB20-BC20+BE20,BE20))</f>
        <v>#VALUE!</v>
      </c>
      <c r="BY14" s="54" t="e">
        <f>IF(BF21=1,rebate_2,IF(K_2&gt;H_2,AZ21-BA21+BB21-BC21+BE21,BE21))</f>
        <v>#VALUE!</v>
      </c>
      <c r="BZ14" s="54" t="e">
        <f>IF(BF22=1,rebate_2,IF(K_2&gt;H_2,AZ22-BA22+BB22-BC22+BE22,BE22))</f>
        <v>#VALUE!</v>
      </c>
      <c r="CA14" s="53" t="e">
        <f>IF(BF16=1,rebate_2,IF(K_2&gt;H_2,AZ16-BA16+BB16-BC16+BE16,BE16))</f>
        <v>#VALUE!</v>
      </c>
      <c r="CB14" s="46" t="e">
        <f>IF(BF17=1,rebate_2,IF(K_2&gt;H_2,AZ17-BA17+BB17-BC17+BE17,BE17))</f>
        <v>#VALUE!</v>
      </c>
      <c r="CC14" s="53">
        <v>1</v>
      </c>
      <c r="CD14" s="9">
        <v>-1</v>
      </c>
    </row>
    <row r="15" spans="1:82" hidden="1">
      <c r="A15" s="24">
        <v>1</v>
      </c>
      <c r="B15" s="1" t="str">
        <f>CHOOSE(A15,C39,C40,C41,C42)</f>
        <v>Call</v>
      </c>
      <c r="C15" s="64">
        <f>B82</f>
        <v>100</v>
      </c>
      <c r="D15" s="64">
        <f>CHOOSE(A15,D39,D40,D41,D42)</f>
        <v>100</v>
      </c>
      <c r="E15" s="64">
        <f>CHOOSE(A15,E39,E40,E41,E42)</f>
        <v>0</v>
      </c>
      <c r="F15" s="64">
        <f>CHOOSE(A15,F39,F40,F41,F42)</f>
        <v>0</v>
      </c>
      <c r="G15" s="64">
        <f>CHOOSE(A15,G39,G40,G41,G42)</f>
        <v>1</v>
      </c>
      <c r="H15" s="65">
        <f>S39</f>
        <v>0.3</v>
      </c>
      <c r="I15" s="64">
        <f>I4</f>
        <v>0</v>
      </c>
      <c r="J15" s="64">
        <f>J4</f>
        <v>0</v>
      </c>
      <c r="K15" s="64">
        <f>(LN(C15/D15)+(I15-J15+H15^2/2)*G15)/(H15*SQRT(G15))</f>
        <v>0.15</v>
      </c>
      <c r="L15" s="66">
        <f>K15-H15*SQRT(G15)</f>
        <v>-0.15</v>
      </c>
      <c r="M15" s="64">
        <f>NORMSDIST(K15)</f>
        <v>0.5596176923702425</v>
      </c>
      <c r="N15" s="64">
        <f>1/SQRT(2*3.14159265)*EXP(-(K15^2)/2)</f>
        <v>0.39447933113326805</v>
      </c>
      <c r="O15" s="64">
        <f>NORMSDIST(L15)</f>
        <v>0.4403823076297575</v>
      </c>
      <c r="P15" s="64">
        <f t="shared" ref="P15:Q17" si="6">NORMSDIST(-K15)</f>
        <v>0.4403823076297575</v>
      </c>
      <c r="Q15" s="64">
        <f t="shared" si="6"/>
        <v>0.5596176923702425</v>
      </c>
      <c r="R15" s="56">
        <f>C15*EXP(-J15*G15)*M15-D15*EXP(-I15*G15)*O15</f>
        <v>11.923538474048499</v>
      </c>
      <c r="S15" s="56">
        <f>D15*EXP(-I15*G15)*Q15-C15*EXP(-J15*G15)*P15</f>
        <v>11.923538474048499</v>
      </c>
      <c r="T15" s="2">
        <f>EXP(-J15*G15)*M15</f>
        <v>0.5596176923702425</v>
      </c>
      <c r="U15" s="2">
        <f>EXP(-J15*G15)*(M15-1)</f>
        <v>-0.4403823076297575</v>
      </c>
      <c r="V15" s="2">
        <f>-C15*N15*H15*EXP(-(J15*G15))/(2*SQRT(G15))+J15*C15*M15*EXP(-(J15*G15))-I15*D15*EXP(-I15*G15)*O15</f>
        <v>-5.9171899669990209</v>
      </c>
      <c r="W15" s="2">
        <f>-C15*N15*H15*EXP(-(J15*G15))/(2*SQRT(G15))-J15*C15*P15*EXP(-(J15*G15))+I15*D15*EXP(-I15*G15)*Q15</f>
        <v>-5.9171899669990209</v>
      </c>
      <c r="X15" s="2">
        <f>N15*EXP(-J15*G15)/(C15*H15*SQRT(G15))</f>
        <v>1.3149311037775602E-2</v>
      </c>
      <c r="Y15" s="2">
        <f>C15*SQRT(G15)*N15*EXP(-J15*G15)</f>
        <v>39.447933113326805</v>
      </c>
      <c r="Z15" s="2">
        <f>Y15</f>
        <v>39.447933113326805</v>
      </c>
      <c r="AA15" s="2">
        <f>D15*G15*EXP(-I15*G15)*O15</f>
        <v>44.038230762975751</v>
      </c>
      <c r="AB15" s="2">
        <f>-D15*G15*EXP(-I15*G15)*Q15</f>
        <v>-55.961769237024249</v>
      </c>
      <c r="AC15" s="28">
        <f>EXP(-I15*G15)*M15</f>
        <v>0.5596176923702425</v>
      </c>
      <c r="AD15" s="28">
        <f>EXP(-I15*G15)*P15</f>
        <v>0.4403823076297575</v>
      </c>
      <c r="AE15" s="17">
        <f>(I15-q-H15^2/2)/H15^2</f>
        <v>-0.5</v>
      </c>
      <c r="AF15" s="17">
        <f>SQRT(AE15^2+2*I15/H15^2)</f>
        <v>0.5</v>
      </c>
      <c r="AG15" s="17">
        <f>LN(C15/K)/(H15*SQRT(G15))+(1+AE15)*H15*SQRT(G15)</f>
        <v>0.15</v>
      </c>
      <c r="AH15" s="17" t="e">
        <f>LN(C15/H)/(H15*SQRT(G15))+(1+AE15)*H15*SQRT(G15)</f>
        <v>#DIV/0!</v>
      </c>
      <c r="AI15" s="17" t="e">
        <f>LN(H^2/(C15*K))/(H15*SQRT(G15))+(1+AE15)*H15*SQRT(G15)</f>
        <v>#NUM!</v>
      </c>
      <c r="AJ15" s="17" t="e">
        <f>LN(H/C15)/(H15*SQRT(G15))+(1+AE15)*H15*SQRT(G15)</f>
        <v>#NUM!</v>
      </c>
      <c r="AK15" s="25" t="e">
        <f>LN(H/C15)/(H15*SQRT(G15))+AF15*H15*SQRT(G15)</f>
        <v>#NUM!</v>
      </c>
      <c r="AL15" s="25" t="e">
        <f>BM15</f>
        <v>#VALUE!</v>
      </c>
      <c r="AM15" s="25" t="e">
        <f>BN15</f>
        <v>#VALUE!</v>
      </c>
      <c r="AN15" s="17" t="e">
        <f>AM15*AG15</f>
        <v>#VALUE!</v>
      </c>
      <c r="AO15" s="17" t="e">
        <f>NORMSDIST(AN15)</f>
        <v>#VALUE!</v>
      </c>
      <c r="AP15" s="17" t="e">
        <f>NORMSDIST(AN15-AM15*H15*SQRT(G15))</f>
        <v>#VALUE!</v>
      </c>
      <c r="AQ15" s="17" t="e">
        <f>AM15*AH15</f>
        <v>#VALUE!</v>
      </c>
      <c r="AR15" s="17" t="e">
        <f>NORMSDIST(AQ15)</f>
        <v>#VALUE!</v>
      </c>
      <c r="AS15" s="17" t="e">
        <f>NORMSDIST(AQ15-AM15*H15*SQRT(G15))</f>
        <v>#VALUE!</v>
      </c>
      <c r="AT15" s="17" t="e">
        <f>AL15*AI15</f>
        <v>#VALUE!</v>
      </c>
      <c r="AU15" s="17" t="e">
        <f>NORMSDIST(AT15)</f>
        <v>#VALUE!</v>
      </c>
      <c r="AV15" s="17" t="e">
        <f>AL15*AJ15</f>
        <v>#VALUE!</v>
      </c>
      <c r="AW15" s="17" t="e">
        <f>NORMSDIST(AV15)</f>
        <v>#VALUE!</v>
      </c>
      <c r="AX15" s="17" t="e">
        <f>NORMSDIST(AT15-AL15*H15*SQRT(G15))</f>
        <v>#VALUE!</v>
      </c>
      <c r="AY15" s="17" t="e">
        <f>NORMSDIST(AV15-AL15*H15*SQRT(G15))</f>
        <v>#VALUE!</v>
      </c>
      <c r="AZ15" s="5" t="e">
        <f>AM15*C15*EXP(-q*G15)*AO15-AM15*K*EXP(-I15*G15)*AP15</f>
        <v>#VALUE!</v>
      </c>
      <c r="BA15" s="5" t="e">
        <f>AM15*C15*EXP(-q*G15)*AR15-AM15*K*EXP(-I15*G15)*AS15</f>
        <v>#VALUE!</v>
      </c>
      <c r="BB15" s="5" t="e">
        <f>AM15*C15*EXP(-q*G15)*(H/C15)^(2*(AE15+1))*AU15-AM15*K*EXP(-I15*G15)*(H/C15)^(2*AE15)*AX15</f>
        <v>#VALUE!</v>
      </c>
      <c r="BC15" s="5" t="e">
        <f>AM15*C15*EXP(-q*G15)*(H/C15)^(2*(AE15+1))*AW15-AM15*K*EXP(-I15*G15)*(H/C15)^(2*AE15)*AY15</f>
        <v>#VALUE!</v>
      </c>
      <c r="BD15" s="5" t="e">
        <f>F15*EXP(-I15*G15)*(NORMSDIST(AL15*AH15-AL15*H15*SQRT(G15))-(H/C15)^(2*AE15)*AY15)</f>
        <v>#VALUE!</v>
      </c>
      <c r="BE15" s="5" t="e">
        <f>F15*((H/C15)^(AE15+AF15)*NORMSDIST(AL15*AK15)+(H/C15)^(AE15-AF15)*NORMSDIST(AL15*AK15-2*AL15*AF15*H15*SQRT(G15)))</f>
        <v>#NUM!</v>
      </c>
      <c r="BF15" s="19">
        <f>IF(AND(BL15=7,C15&gt;E15),1,0)+IF(AND(BL15=8,C15&gt;E15),1,0)+IF(AND(BL15=11,C15&lt;E15),1,0)+IF(AND(BL15=12,C15&lt;E15),1,0)</f>
        <v>0</v>
      </c>
      <c r="BG15" s="19">
        <f>IF(AND(BL15=9,C15&gt;E15),1,0)+IF(AND(BL15=10,C15&gt;E15),1,0)+IF(AND(BL15=13,C15&lt;E15),1,0)+IF(AND(BL15=14,C15&lt;E15),1,0)</f>
        <v>0</v>
      </c>
      <c r="BH15" s="2" t="s">
        <v>14</v>
      </c>
      <c r="BI15" s="56">
        <f>CHOOSE(BL15,0,0,0,0,0,0,BV9,BV10,BV11,BV12,BV13,BV14,BV15,BV16)</f>
        <v>0</v>
      </c>
      <c r="BL15" s="57">
        <f>VLOOKUP(B15,BP3:BQ16,2,FALSE)</f>
        <v>1</v>
      </c>
      <c r="BM15" s="57" t="e">
        <f>CHOOSE($BL$15-6,CC9,CC10,CC11,CC12,CC13,CC14,CC15,CC16,)</f>
        <v>#VALUE!</v>
      </c>
      <c r="BN15" s="57" t="e">
        <f>CHOOSE($BL$15-6,CD9,CD10,CD11,CD12,CD13,CD14,CD15,CD16,)</f>
        <v>#VALUE!</v>
      </c>
      <c r="BP15" s="9" t="str">
        <f t="shared" si="0"/>
        <v>Call down and in</v>
      </c>
      <c r="BQ15" s="50">
        <f t="shared" si="1"/>
        <v>13</v>
      </c>
      <c r="BR15" s="51" t="e">
        <f>IF(BG4=1,R4,IF(K&gt;H,BB4+BD4,AZ4-BA4+BC4+BD4))</f>
        <v>#VALUE!</v>
      </c>
      <c r="BS15" s="22" t="e">
        <f>IF(BG6=1,R6,IF(K&gt;H,BB6+BD6,AZ6-BA6+BC6+BD6))</f>
        <v>#VALUE!</v>
      </c>
      <c r="BT15" s="9" t="e">
        <f>IF(BG11=1,R11,IF(K&gt;H,BB11+BD11,AZ11-BA11+BC11+BD11))</f>
        <v>#VALUE!</v>
      </c>
      <c r="BU15" s="46" t="e">
        <f>IF(BG12=1,R12,IF(K&gt;H,BB12+BD12,AZ12-BA12+BC12+BD12))</f>
        <v>#VALUE!</v>
      </c>
      <c r="BV15" s="52" t="e">
        <f>IF(BG15=1,R15,IF(K_2&gt;H_2,BB15+BD15,AZ15-BA15+BC15+BD15))</f>
        <v>#VALUE!</v>
      </c>
      <c r="BW15" s="53" t="e">
        <f>IF(BG19=1,R19,IF(K_2&gt;H_2,BB19+BD19,AZ19-BA19+BC19+BD19))</f>
        <v>#VALUE!</v>
      </c>
      <c r="BX15" s="54" t="e">
        <f>IF(BG20=1,R19,IF(K_2&gt;H_2,BB20+BD20,AZ20-BA20+BC20+BD20))</f>
        <v>#VALUE!</v>
      </c>
      <c r="BY15" s="54" t="e">
        <f>IF(BG21=1,R19,IF(K_2&gt;H_2,BB21+BD21,AZ21-BA21+BC21+BD21))</f>
        <v>#VALUE!</v>
      </c>
      <c r="BZ15" s="54" t="e">
        <f>IF(BG22=1,R19,IF(K_2&gt;H_2,BB22+BD22,AZ22-BA22+BC22+BD22))</f>
        <v>#VALUE!</v>
      </c>
      <c r="CA15" s="53" t="e">
        <f>IF(BG16=1,R19,IF(K_2&gt;H_2,BB16+BD16,AZ16-BA16+BC16+BD16))</f>
        <v>#VALUE!</v>
      </c>
      <c r="CB15" s="46" t="e">
        <f>IF(BG17=1,R19,IF(K_2&gt;H_2,BB17+BD17,AZ17-BA17+BC17+BD17))</f>
        <v>#VALUE!</v>
      </c>
      <c r="CC15" s="53">
        <v>1</v>
      </c>
      <c r="CD15" s="9">
        <v>1</v>
      </c>
    </row>
    <row r="16" spans="1:82" hidden="1">
      <c r="A16" s="24"/>
      <c r="B16" s="1"/>
      <c r="C16" s="64">
        <f>C15+epsilon</f>
        <v>100.001</v>
      </c>
      <c r="D16" s="64">
        <f>D15</f>
        <v>100</v>
      </c>
      <c r="E16" s="64">
        <f t="shared" ref="E16:J16" si="7">E15</f>
        <v>0</v>
      </c>
      <c r="F16" s="64">
        <f t="shared" si="7"/>
        <v>0</v>
      </c>
      <c r="G16" s="64">
        <f t="shared" si="7"/>
        <v>1</v>
      </c>
      <c r="H16" s="65">
        <f t="shared" si="7"/>
        <v>0.3</v>
      </c>
      <c r="I16" s="64">
        <f t="shared" si="7"/>
        <v>0</v>
      </c>
      <c r="J16" s="64">
        <f t="shared" si="7"/>
        <v>0</v>
      </c>
      <c r="K16" s="64">
        <f>(LN(C16/D16)+(I16-J16+H16^2/2)*G16)/(H16*SQRT(G16))</f>
        <v>0.150033333166668</v>
      </c>
      <c r="L16" s="66">
        <f>K16-H16*SQRT(G16)</f>
        <v>-0.14996666683333199</v>
      </c>
      <c r="M16" s="64">
        <f>NORMSDIST(K16)</f>
        <v>0.55963084158265142</v>
      </c>
      <c r="N16" s="64">
        <f>1/SQRT(2*3.14159265)*EXP(-(K16^2)/2)</f>
        <v>0.39447735853225335</v>
      </c>
      <c r="O16" s="64">
        <f>NORMSDIST(L16)</f>
        <v>0.44039545690791226</v>
      </c>
      <c r="P16" s="64">
        <f t="shared" si="6"/>
        <v>0.44036915841734858</v>
      </c>
      <c r="Q16" s="64">
        <f t="shared" si="6"/>
        <v>0.55960454309208774</v>
      </c>
      <c r="R16" s="56">
        <f>C16*EXP(-J16*G16)*M16-D16*EXP(-I16*G16)*O16</f>
        <v>11.924098098315497</v>
      </c>
      <c r="S16" s="56">
        <f>D16*EXP(-I16*G16)*Q16-C16*EXP(-J16*G16)*P16</f>
        <v>11.923098098315492</v>
      </c>
      <c r="T16" s="2" t="s">
        <v>62</v>
      </c>
      <c r="AC16" s="28">
        <f>EXP(-I16*G16)*M16</f>
        <v>0.55963084158265142</v>
      </c>
      <c r="AD16" s="28">
        <f>EXP(-I16*G16)*P16</f>
        <v>0.44036915841734858</v>
      </c>
      <c r="AE16" s="17">
        <f>(I16-q-H16^2/2)/H16^2</f>
        <v>-0.5</v>
      </c>
      <c r="AF16" s="17">
        <f>SQRT(AE16^2+2*I16/H16^2)</f>
        <v>0.5</v>
      </c>
      <c r="AG16" s="17">
        <f>LN(C16/K)/(H16*SQRT(G16))+(1+AE16)*H16*SQRT(G16)</f>
        <v>0.150033333166668</v>
      </c>
      <c r="AH16" s="17" t="e">
        <f>LN(C16/H)/(H16*SQRT(G16))+(1+AE16)*H16*SQRT(G16)</f>
        <v>#DIV/0!</v>
      </c>
      <c r="AI16" s="17" t="e">
        <f>LN(H^2/(C16*K))/(H16*SQRT(G16))+(1+AE16)*H16*SQRT(G16)</f>
        <v>#NUM!</v>
      </c>
      <c r="AJ16" s="17" t="e">
        <f>LN(H/C16)/(H16*SQRT(G16))+(1+AE16)*H16*SQRT(G16)</f>
        <v>#NUM!</v>
      </c>
      <c r="AK16" s="25" t="e">
        <f>LN(H/C16)/(H16*SQRT(G16))+AF16*H16*SQRT(G16)</f>
        <v>#NUM!</v>
      </c>
      <c r="AL16" s="25" t="e">
        <f>AL15</f>
        <v>#VALUE!</v>
      </c>
      <c r="AM16" s="25" t="e">
        <f>AM15</f>
        <v>#VALUE!</v>
      </c>
      <c r="AN16" s="17" t="e">
        <f>AM16*AG16</f>
        <v>#VALUE!</v>
      </c>
      <c r="AO16" s="17" t="e">
        <f>NORMSDIST(AN16)</f>
        <v>#VALUE!</v>
      </c>
      <c r="AP16" s="17" t="e">
        <f>NORMSDIST(AN16-AM16*H16*SQRT(G16))</f>
        <v>#VALUE!</v>
      </c>
      <c r="AQ16" s="17" t="e">
        <f>AM16*AH16</f>
        <v>#VALUE!</v>
      </c>
      <c r="AR16" s="17" t="e">
        <f>NORMSDIST(AQ16)</f>
        <v>#VALUE!</v>
      </c>
      <c r="AS16" s="17" t="e">
        <f>NORMSDIST(AQ16-AM16*H16*SQRT(G16))</f>
        <v>#VALUE!</v>
      </c>
      <c r="AT16" s="17" t="e">
        <f>AL16*AI16</f>
        <v>#VALUE!</v>
      </c>
      <c r="AU16" s="17" t="e">
        <f>NORMSDIST(AT16)</f>
        <v>#VALUE!</v>
      </c>
      <c r="AV16" s="17" t="e">
        <f>AL16*AJ16</f>
        <v>#VALUE!</v>
      </c>
      <c r="AW16" s="17" t="e">
        <f>NORMSDIST(AV16)</f>
        <v>#VALUE!</v>
      </c>
      <c r="AX16" s="17" t="e">
        <f>NORMSDIST(AT16-AL16*H16*SQRT(G16))</f>
        <v>#VALUE!</v>
      </c>
      <c r="AY16" s="17" t="e">
        <f>NORMSDIST(AV16-AL16*H16*SQRT(G16))</f>
        <v>#VALUE!</v>
      </c>
      <c r="AZ16" s="5" t="e">
        <f>AM16*C16*EXP(-q*G16)*AO16-AM16*K*EXP(-I16*G16)*AP16</f>
        <v>#VALUE!</v>
      </c>
      <c r="BA16" s="5" t="e">
        <f>AM16*C16*EXP(-q*G16)*AR16-AM16*K*EXP(-I16*G16)*AS16</f>
        <v>#VALUE!</v>
      </c>
      <c r="BB16" s="5" t="e">
        <f>AM16*C16*EXP(-q*G16)*(H/C16)^(2*(AE16+1))*AU16-AM16*K*EXP(-I16*G16)*(H/C16)^(2*AE16)*AX16</f>
        <v>#VALUE!</v>
      </c>
      <c r="BC16" s="5" t="e">
        <f>AM16*C16*EXP(-q*G16)*(H/C16)^(2*(AE16+1))*AW16-AM16*K*EXP(-I16*G16)*(H/C16)^(2*AE16)*AY16</f>
        <v>#VALUE!</v>
      </c>
      <c r="BD16" s="5" t="e">
        <f>F16*EXP(-I16*G16)*(NORMSDIST(AL16*AH16-AL16*H16*SQRT(G16))-(H/C16)^(2*AE16)*AY16)</f>
        <v>#VALUE!</v>
      </c>
      <c r="BE16" s="5" t="e">
        <f>F16*((H/C16)^(AE16+AF16)*NORMSDIST(AL16*AK16)+(H/C16)^(AE16-AF16)*NORMSDIST(AL16*AK16-2*AL16*AF16*H16*SQRT(G16)))</f>
        <v>#NUM!</v>
      </c>
      <c r="BF16" s="5">
        <f>BF15</f>
        <v>0</v>
      </c>
      <c r="BG16" s="5">
        <f>BG15</f>
        <v>0</v>
      </c>
      <c r="BH16" s="2" t="s">
        <v>63</v>
      </c>
      <c r="BI16" s="56">
        <f>CHOOSE(BL15,0,0,0,0,0,0,CA9,CA10,CA11,CA12,CA13,CA14,CA15,CA16)</f>
        <v>0</v>
      </c>
      <c r="BP16" s="9" t="str">
        <f t="shared" si="0"/>
        <v>Put down and in</v>
      </c>
      <c r="BQ16" s="50">
        <f t="shared" si="1"/>
        <v>14</v>
      </c>
      <c r="BR16" s="43" t="e">
        <f>IF(BG4=1,S4,IF(K&gt;H,BA4-BB4+BC4+BD4,AZ4+BD4))</f>
        <v>#VALUE!</v>
      </c>
      <c r="BS16" s="67" t="e">
        <f>IF(BG6=1,S6,IF(K&gt;H,BA6-BB6+BC6+BD6,AZ6+BD6))</f>
        <v>#VALUE!</v>
      </c>
      <c r="BT16" s="68" t="e">
        <f>IF(BG11=1,S11,IF(K&gt;H,BA11-BB11+BC11+BD11,AZ11+BD11))</f>
        <v>#VALUE!</v>
      </c>
      <c r="BU16" s="69" t="e">
        <f>IF(BG12=1,S12,IF(K&gt;H,BA12-BB12+BC12+BD12,AZ12+BD12))</f>
        <v>#VALUE!</v>
      </c>
      <c r="BV16" s="70" t="e">
        <f>IF(BG15=1,S15,IF(K_2&gt;H_2,BA15-BB15+BC15+BD15,AZ15+BD15))</f>
        <v>#VALUE!</v>
      </c>
      <c r="BW16" s="71" t="e">
        <f>IF(BG19=1,S19,IF(K_2&gt;H_2,BA19-BB19+BC19+BD19,AZ19+BD19))</f>
        <v>#VALUE!</v>
      </c>
      <c r="BX16" s="72" t="e">
        <f>IF(BG20=1,S19,IF(K_2&gt;H_2,BA20-BB20+BC20+BD20,AZ20+BD20))</f>
        <v>#VALUE!</v>
      </c>
      <c r="BY16" s="72" t="e">
        <f>IF(BG21=1,S19,IF(K_2&gt;H_2,BA21-BB21+BC21+BD21,AZ21+BD21))</f>
        <v>#VALUE!</v>
      </c>
      <c r="BZ16" s="72" t="e">
        <f>IF(BG22=1,S19,IF(K_2&gt;H_2,BA22-BB22+BC22+BD22,AZ22+BD22))</f>
        <v>#VALUE!</v>
      </c>
      <c r="CA16" s="71" t="e">
        <f>IF(BG16=1,S19,IF(K_2&gt;H_2,BA16-BB16+BC16+BD16,AZ16+BD16))</f>
        <v>#VALUE!</v>
      </c>
      <c r="CB16" s="69" t="e">
        <f>IF(BG17=1,S19,IF(K_2&gt;H_2,BA17-BB17+BC17+BD17,AZ17+BD17))</f>
        <v>#VALUE!</v>
      </c>
      <c r="CC16" s="53">
        <v>1</v>
      </c>
      <c r="CD16" s="9">
        <v>-1</v>
      </c>
    </row>
    <row r="17" spans="1:62" hidden="1">
      <c r="A17" s="1"/>
      <c r="B17" s="1"/>
      <c r="C17" s="64">
        <f>C15-epsilon</f>
        <v>99.998999999999995</v>
      </c>
      <c r="D17" s="64">
        <f>D15</f>
        <v>100</v>
      </c>
      <c r="E17" s="64">
        <f t="shared" ref="E17:J17" si="8">E15</f>
        <v>0</v>
      </c>
      <c r="F17" s="64">
        <f t="shared" si="8"/>
        <v>0</v>
      </c>
      <c r="G17" s="64">
        <f t="shared" si="8"/>
        <v>1</v>
      </c>
      <c r="H17" s="65">
        <f t="shared" si="8"/>
        <v>0.3</v>
      </c>
      <c r="I17" s="64">
        <f t="shared" si="8"/>
        <v>0</v>
      </c>
      <c r="J17" s="64">
        <f t="shared" si="8"/>
        <v>0</v>
      </c>
      <c r="K17" s="64">
        <f>(LN(C17/D17)+(I17-J17+H17^2/2)*G17)/(H17*SQRT(G17))</f>
        <v>0.14996666649999868</v>
      </c>
      <c r="L17" s="66">
        <f>K17-H17*SQRT(G17)</f>
        <v>-0.15003333350000131</v>
      </c>
      <c r="M17" s="64">
        <f>NORMSDIST(K17)</f>
        <v>0.55960454296059403</v>
      </c>
      <c r="N17" s="64">
        <f>1/SQRT(2*3.14159265)*EXP(-(K17^2)/2)</f>
        <v>0.39448130332555836</v>
      </c>
      <c r="O17" s="64">
        <f>NORMSDIST(L17)</f>
        <v>0.4403691582858561</v>
      </c>
      <c r="P17" s="64">
        <f t="shared" si="6"/>
        <v>0.44039545703940602</v>
      </c>
      <c r="Q17" s="64">
        <f t="shared" si="6"/>
        <v>0.5596308417141439</v>
      </c>
      <c r="R17" s="56">
        <f>C17*EXP(-J17*G17)*M17-D17*EXP(-I17*G17)*O17</f>
        <v>11.922978862930826</v>
      </c>
      <c r="S17" s="56">
        <f>D17*EXP(-I17*G17)*Q17-C17*EXP(-J17*G17)*P17</f>
        <v>11.923978862930824</v>
      </c>
      <c r="T17" s="2" t="s">
        <v>64</v>
      </c>
      <c r="V17" s="4" t="s">
        <v>65</v>
      </c>
      <c r="W17" s="4">
        <f>CHOOSE(A4,H39,H40,H41,H42)*VLOOKUP(B4,V19:W37,2,FALSE)*IF(vary=3,IF(C1&gt;CHOOSE(A4,G39,G40,G41,G42),0,1),1)</f>
        <v>9.773187944444224E-15</v>
      </c>
      <c r="AC17" s="28">
        <f>EXP(-I17*G17)*M17</f>
        <v>0.55960454296059403</v>
      </c>
      <c r="AD17" s="28">
        <f>EXP(-I17*G17)*P17</f>
        <v>0.44039545703940602</v>
      </c>
      <c r="AE17" s="17">
        <f>(I17-q-H17^2/2)/H17^2</f>
        <v>-0.5</v>
      </c>
      <c r="AF17" s="17">
        <f>SQRT(AE17^2+2*I17/H17^2)</f>
        <v>0.5</v>
      </c>
      <c r="AG17" s="17">
        <f>LN(C17/K)/(H17*SQRT(G17))+(1+AE17)*H17*SQRT(G17)</f>
        <v>0.14996666649999865</v>
      </c>
      <c r="AH17" s="17" t="e">
        <f>LN(C17/H)/(H17*SQRT(G17))+(1+AE17)*H17*SQRT(G17)</f>
        <v>#DIV/0!</v>
      </c>
      <c r="AI17" s="17" t="e">
        <f>LN(H^2/(C17*K))/(H17*SQRT(G17))+(1+AE17)*H17*SQRT(G17)</f>
        <v>#NUM!</v>
      </c>
      <c r="AJ17" s="17" t="e">
        <f>LN(H/C17)/(H17*SQRT(G17))+(1+AE17)*H17*SQRT(G17)</f>
        <v>#NUM!</v>
      </c>
      <c r="AK17" s="25" t="e">
        <f>LN(H/C17)/(H17*SQRT(G17))+AF17*H17*SQRT(G17)</f>
        <v>#NUM!</v>
      </c>
      <c r="AL17" s="25" t="e">
        <f>AL15</f>
        <v>#VALUE!</v>
      </c>
      <c r="AM17" s="25" t="e">
        <f>AM15</f>
        <v>#VALUE!</v>
      </c>
      <c r="AN17" s="17" t="e">
        <f>AM17*AG17</f>
        <v>#VALUE!</v>
      </c>
      <c r="AO17" s="17" t="e">
        <f>NORMSDIST(AN17)</f>
        <v>#VALUE!</v>
      </c>
      <c r="AP17" s="17" t="e">
        <f>NORMSDIST(AN17-AM17*H17*SQRT(G17))</f>
        <v>#VALUE!</v>
      </c>
      <c r="AQ17" s="17" t="e">
        <f>AM17*AH17</f>
        <v>#VALUE!</v>
      </c>
      <c r="AR17" s="17" t="e">
        <f>NORMSDIST(AQ17)</f>
        <v>#VALUE!</v>
      </c>
      <c r="AS17" s="17" t="e">
        <f>NORMSDIST(AQ17-AM17*H17*SQRT(G17))</f>
        <v>#VALUE!</v>
      </c>
      <c r="AT17" s="17" t="e">
        <f>AL17*AI17</f>
        <v>#VALUE!</v>
      </c>
      <c r="AU17" s="17" t="e">
        <f>NORMSDIST(AT17)</f>
        <v>#VALUE!</v>
      </c>
      <c r="AV17" s="17" t="e">
        <f>AL17*AJ17</f>
        <v>#VALUE!</v>
      </c>
      <c r="AW17" s="17" t="e">
        <f>NORMSDIST(AV17)</f>
        <v>#VALUE!</v>
      </c>
      <c r="AX17" s="17" t="e">
        <f>NORMSDIST(AT17-AL17*H17*SQRT(G17))</f>
        <v>#VALUE!</v>
      </c>
      <c r="AY17" s="17" t="e">
        <f>NORMSDIST(AV17-AL17*H17*SQRT(G17))</f>
        <v>#VALUE!</v>
      </c>
      <c r="AZ17" s="5" t="e">
        <f>AM17*C17*EXP(-q*G17)*AO17-AM17*K*EXP(-I17*G17)*AP17</f>
        <v>#VALUE!</v>
      </c>
      <c r="BA17" s="5" t="e">
        <f>AM17*C17*EXP(-q*G17)*AR17-AM17*K*EXP(-I17*G17)*AS17</f>
        <v>#VALUE!</v>
      </c>
      <c r="BB17" s="5" t="e">
        <f>AM17*C17*EXP(-q*G17)*(H/C17)^(2*(AE17+1))*AU17-AM17*K*EXP(-I17*G17)*(H/C17)^(2*AE17)*AX17</f>
        <v>#VALUE!</v>
      </c>
      <c r="BC17" s="5" t="e">
        <f>AM17*C17*EXP(-q*G17)*(H/C17)^(2*(AE17+1))*AW17-AM17*K*EXP(-I17*G17)*(H/C17)^(2*AE17)*AY17</f>
        <v>#VALUE!</v>
      </c>
      <c r="BD17" s="5" t="e">
        <f>F17*EXP(-I17*G17)*(NORMSDIST(AL17*AH17-AL17*H17*SQRT(G17))-(H/C17)^(2*AE17)*AY17)</f>
        <v>#VALUE!</v>
      </c>
      <c r="BE17" s="5" t="e">
        <f>F17*((H/C17)^(AE17+AF17)*NORMSDIST(AL17*AK17)+(H/C17)^(AE17-AF17)*NORMSDIST(AL17*AK17-2*AL17*AF17*H17*SQRT(G17)))</f>
        <v>#NUM!</v>
      </c>
      <c r="BF17" s="5">
        <f>BF15</f>
        <v>0</v>
      </c>
      <c r="BG17" s="5">
        <f>BG15</f>
        <v>0</v>
      </c>
      <c r="BH17" s="2" t="s">
        <v>66</v>
      </c>
      <c r="BI17" s="56">
        <f>CHOOSE(BL15,0,0,0,0,0,0,CB9,CB10,CB11,CB12,CB13,CB14,CB15,CB16)</f>
        <v>0</v>
      </c>
      <c r="BJ17" s="4">
        <f>(BI16+BI17-2*BI15)/epsilon^2</f>
        <v>0</v>
      </c>
    </row>
    <row r="18" spans="1:62" hidden="1">
      <c r="A18" s="1"/>
      <c r="B18" s="1"/>
      <c r="C18" s="2"/>
      <c r="AB18" s="2" t="s">
        <v>67</v>
      </c>
      <c r="AC18" s="4">
        <f>(AC16-AC15)/epsilon</f>
        <v>1.3149212408913868E-2</v>
      </c>
      <c r="AD18" s="4">
        <f>(AD16-AD15)/epsilon</f>
        <v>-1.3149212408913868E-2</v>
      </c>
    </row>
    <row r="19" spans="1:62" hidden="1">
      <c r="A19" s="1"/>
      <c r="B19" s="1"/>
      <c r="C19" s="73">
        <f>C15+epsilon</f>
        <v>100.001</v>
      </c>
      <c r="D19" s="56">
        <f t="shared" ref="D19:J19" si="9">D15</f>
        <v>100</v>
      </c>
      <c r="E19" s="56">
        <f t="shared" si="9"/>
        <v>0</v>
      </c>
      <c r="F19" s="56">
        <f t="shared" si="9"/>
        <v>0</v>
      </c>
      <c r="G19" s="56">
        <f t="shared" si="9"/>
        <v>1</v>
      </c>
      <c r="H19" s="56">
        <f t="shared" si="9"/>
        <v>0.3</v>
      </c>
      <c r="I19" s="56">
        <f t="shared" si="9"/>
        <v>0</v>
      </c>
      <c r="J19" s="56">
        <f t="shared" si="9"/>
        <v>0</v>
      </c>
      <c r="K19" s="64">
        <f>(LN(C19/D19)+(I19-J19+H19^2/2)*G19)/(H19*SQRT(G19))</f>
        <v>0.150033333166668</v>
      </c>
      <c r="L19" s="66">
        <f>K19-H19*SQRT(G19)</f>
        <v>-0.14996666683333199</v>
      </c>
      <c r="M19" s="64">
        <f>NORMSDIST(K19)</f>
        <v>0.55963084158265142</v>
      </c>
      <c r="N19" s="64">
        <f>1/SQRT(2*3.14159265)*EXP(-(K19^2)/2)</f>
        <v>0.39447735853225335</v>
      </c>
      <c r="O19" s="64">
        <f>NORMSDIST(L19)</f>
        <v>0.44039545690791226</v>
      </c>
      <c r="P19" s="64">
        <f t="shared" ref="P19:Q22" si="10">NORMSDIST(-K19)</f>
        <v>0.44036915841734858</v>
      </c>
      <c r="Q19" s="64">
        <f t="shared" si="10"/>
        <v>0.55960454309208774</v>
      </c>
      <c r="R19" s="56">
        <f>C19*EXP(-J19*G19)*M19-D19*EXP(-I19*G19)*O19</f>
        <v>11.924098098315497</v>
      </c>
      <c r="S19" s="56">
        <f>D19*EXP(-I19*G19)*Q19-C19*EXP(-J19*G19)*P19</f>
        <v>11.923098098315492</v>
      </c>
      <c r="T19" s="2" t="s">
        <v>68</v>
      </c>
      <c r="V19" s="9" t="s">
        <v>32</v>
      </c>
      <c r="W19" s="9">
        <f>CHOOSE(D75,R4,T4,X4,V4,Y4,AA4)</f>
        <v>9.773187944444224E-15</v>
      </c>
      <c r="X19" s="74">
        <v>1</v>
      </c>
      <c r="AB19" s="2" t="s">
        <v>69</v>
      </c>
      <c r="AC19" s="4">
        <f>(AC16+AC17-2*AC15)/epsilon^2</f>
        <v>-1.9723955801964621E-4</v>
      </c>
      <c r="AD19" s="4">
        <f>(AD16+AD17-2*AD15)/epsilon^2</f>
        <v>1.9723955801964621E-4</v>
      </c>
      <c r="AE19" s="17">
        <f>(I19-q-H19^2/2)/H19^2</f>
        <v>-0.5</v>
      </c>
      <c r="AF19" s="17">
        <f>SQRT(AE19^2+2*I19/H19^2)</f>
        <v>0.5</v>
      </c>
      <c r="AG19" s="17">
        <f>LN(C19/K)/(H19*SQRT(G19))+(1+AE19)*H19*SQRT(G19)</f>
        <v>0.150033333166668</v>
      </c>
      <c r="AH19" s="17" t="e">
        <f>LN(C19/H)/(H19*SQRT(G19))+(1+AE19)*H19*SQRT(G19)</f>
        <v>#DIV/0!</v>
      </c>
      <c r="AI19" s="17" t="e">
        <f>LN(H^2/(C19*K))/(H19*SQRT(G19))+(1+AE19)*H19*SQRT(G19)</f>
        <v>#NUM!</v>
      </c>
      <c r="AJ19" s="17" t="e">
        <f>LN(H/C19)/(H19*SQRT(G19))+(1+AE19)*H19*SQRT(G19)</f>
        <v>#NUM!</v>
      </c>
      <c r="AK19" s="25" t="e">
        <f>LN(H/C19)/(H19*SQRT(G19))+AF19*H19*SQRT(G19)</f>
        <v>#NUM!</v>
      </c>
      <c r="AL19" s="25" t="e">
        <f t="shared" ref="AL19:AM21" si="11">AL15</f>
        <v>#VALUE!</v>
      </c>
      <c r="AM19" s="25" t="e">
        <f t="shared" si="11"/>
        <v>#VALUE!</v>
      </c>
      <c r="AN19" s="17" t="e">
        <f>AM19*AG19</f>
        <v>#VALUE!</v>
      </c>
      <c r="AO19" s="17" t="e">
        <f>NORMSDIST(AN19)</f>
        <v>#VALUE!</v>
      </c>
      <c r="AP19" s="17" t="e">
        <f>NORMSDIST(AN19-AM19*H19*SQRT(G19))</f>
        <v>#VALUE!</v>
      </c>
      <c r="AQ19" s="17" t="e">
        <f>AM19*AH19</f>
        <v>#VALUE!</v>
      </c>
      <c r="AR19" s="17" t="e">
        <f>NORMSDIST(AQ19)</f>
        <v>#VALUE!</v>
      </c>
      <c r="AS19" s="17" t="e">
        <f>NORMSDIST(AQ19-AM19*H19*SQRT(G19))</f>
        <v>#VALUE!</v>
      </c>
      <c r="AT19" s="17" t="e">
        <f>AL19*AI19</f>
        <v>#VALUE!</v>
      </c>
      <c r="AU19" s="17" t="e">
        <f>NORMSDIST(AT19)</f>
        <v>#VALUE!</v>
      </c>
      <c r="AV19" s="17" t="e">
        <f>AL19*AJ19</f>
        <v>#VALUE!</v>
      </c>
      <c r="AW19" s="17" t="e">
        <f>NORMSDIST(AV19)</f>
        <v>#VALUE!</v>
      </c>
      <c r="AX19" s="17" t="e">
        <f>NORMSDIST(AT19-AL19*H19*SQRT(G19))</f>
        <v>#VALUE!</v>
      </c>
      <c r="AY19" s="17" t="e">
        <f>NORMSDIST(AV19-AL19*H19*SQRT(G19))</f>
        <v>#VALUE!</v>
      </c>
      <c r="AZ19" s="5" t="e">
        <f>AM19*C19*EXP(-q*G19)*AO19-AM19*K*EXP(-I19*G19)*AP19</f>
        <v>#VALUE!</v>
      </c>
      <c r="BA19" s="5" t="e">
        <f>AM19*C19*EXP(-q*G19)*AR19-AM19*K*EXP(-I19*G19)*AS19</f>
        <v>#VALUE!</v>
      </c>
      <c r="BB19" s="5" t="e">
        <f>AM19*C19*EXP(-q*G19)*(H/C19)^(2*(AE19+1))*AU19-AM19*K*EXP(-I19*G19)*(H/C19)^(2*AE19)*AX19</f>
        <v>#VALUE!</v>
      </c>
      <c r="BC19" s="5" t="e">
        <f>AM19*C19*EXP(-q*G19)*(H/C19)^(2*(AE19+1))*AW19-AM19*K*EXP(-I19*G19)*(H/C19)^(2*AE19)*AY19</f>
        <v>#VALUE!</v>
      </c>
      <c r="BD19" s="5" t="e">
        <f>F19*EXP(-I19*G19)*(NORMSDIST(AL19*AH19-AL19*H19*SQRT(G19))-(H/C19)^(2*AE19)*AY19)</f>
        <v>#VALUE!</v>
      </c>
      <c r="BE19" s="5" t="e">
        <f>F19*((H/C19)^(AE19+AF19)*NORMSDIST(AL19*AK19)+(H/C19)^(AE19-AF19)*NORMSDIST(AL19*AK19-2*AL19*AF19*H19*SQRT(G19)))</f>
        <v>#NUM!</v>
      </c>
      <c r="BF19" s="5">
        <f t="shared" ref="BF19:BG21" si="12">BF15</f>
        <v>0</v>
      </c>
      <c r="BG19" s="5">
        <f t="shared" si="12"/>
        <v>0</v>
      </c>
      <c r="BH19" s="2" t="s">
        <v>9</v>
      </c>
      <c r="BI19" s="56">
        <f>CHOOSE(BL15,0,0,0,0,0,0,BW9,BW10,BW11,BW12,BW13,BW14,BW15,BW16)</f>
        <v>0</v>
      </c>
      <c r="BJ19" s="56">
        <f>(BI19-BI15)/epsilon</f>
        <v>0</v>
      </c>
    </row>
    <row r="20" spans="1:62" hidden="1">
      <c r="A20" s="1"/>
      <c r="B20" s="1"/>
      <c r="C20" s="73">
        <f>C15</f>
        <v>100</v>
      </c>
      <c r="D20" s="56">
        <f>D15</f>
        <v>100</v>
      </c>
      <c r="E20" s="56">
        <f>E15</f>
        <v>0</v>
      </c>
      <c r="F20" s="56">
        <f>F15</f>
        <v>0</v>
      </c>
      <c r="G20" s="56">
        <f>G15+epsilon</f>
        <v>1.0009999999999999</v>
      </c>
      <c r="H20" s="56">
        <f>H15</f>
        <v>0.3</v>
      </c>
      <c r="I20" s="56">
        <f>I15</f>
        <v>0</v>
      </c>
      <c r="J20" s="56">
        <f>J15</f>
        <v>0</v>
      </c>
      <c r="K20" s="64">
        <f>(LN(C20/D20)+(I20-J20+H20^2/2)*G20)/(H20*SQRT(G20))</f>
        <v>0.15007498125936913</v>
      </c>
      <c r="L20" s="66">
        <f>K20-H20*SQRT(G20)</f>
        <v>-0.15007498125936913</v>
      </c>
      <c r="M20" s="64">
        <f>NORMSDIST(K20)</f>
        <v>0.55964727076090415</v>
      </c>
      <c r="N20" s="64">
        <f>1/SQRT(2*3.14159265)*EXP(-(K20^2)/2)</f>
        <v>0.39447489326575585</v>
      </c>
      <c r="O20" s="64">
        <f>NORMSDIST(L20)</f>
        <v>0.4403527292390958</v>
      </c>
      <c r="P20" s="64">
        <f t="shared" si="10"/>
        <v>0.4403527292390958</v>
      </c>
      <c r="Q20" s="64">
        <f t="shared" si="10"/>
        <v>0.55964727076090415</v>
      </c>
      <c r="R20" s="56">
        <f>C20*EXP(-J20*G20)*M20-D20*EXP(-I20*G20)*O20</f>
        <v>11.929454152180831</v>
      </c>
      <c r="S20" s="56">
        <f>D20*EXP(-I20*G20)*Q20-C20*EXP(-J20*G20)*P20</f>
        <v>11.929454152180831</v>
      </c>
      <c r="T20" s="2" t="s">
        <v>70</v>
      </c>
      <c r="V20" s="9" t="s">
        <v>33</v>
      </c>
      <c r="W20" s="9">
        <f>CHOOSE(D75,S4,U4,X4,W4,Z4,AB4)</f>
        <v>90</v>
      </c>
      <c r="X20" s="9">
        <f t="shared" ref="X20:X32" si="13">X19+1</f>
        <v>2</v>
      </c>
      <c r="Z20" s="56" t="s">
        <v>10</v>
      </c>
      <c r="AA20" s="75">
        <f>(AC$15-AC20)/epsilon</f>
        <v>-2.9578390661644249E-2</v>
      </c>
      <c r="AB20" s="75">
        <f>(AD15-AD20)/epsilon</f>
        <v>2.957839066169976E-2</v>
      </c>
      <c r="AC20" s="76">
        <f>EXP(-I20*G20)*M20</f>
        <v>0.55964727076090415</v>
      </c>
      <c r="AD20" s="28">
        <f>EXP(-I20*G20)*P20</f>
        <v>0.4403527292390958</v>
      </c>
      <c r="AE20" s="17">
        <f>(I20-q-H20^2/2)/H20^2</f>
        <v>-0.5</v>
      </c>
      <c r="AF20" s="17">
        <f>SQRT(AE20^2+2*I20/H20^2)</f>
        <v>0.5</v>
      </c>
      <c r="AG20" s="17">
        <f>LN(C20/K)/(H20*SQRT(G20))+(1+AE20)*H20*SQRT(G20)</f>
        <v>0.15007498125936913</v>
      </c>
      <c r="AH20" s="17" t="e">
        <f>LN(C20/H)/(H20*SQRT(G20))+(1+AE20)*H20*SQRT(G20)</f>
        <v>#DIV/0!</v>
      </c>
      <c r="AI20" s="17" t="e">
        <f>LN(H^2/(C20*K))/(H20*SQRT(G20))+(1+AE20)*H20*SQRT(G20)</f>
        <v>#NUM!</v>
      </c>
      <c r="AJ20" s="17" t="e">
        <f>LN(H/C20)/(H20*SQRT(G20))+(1+AE20)*H20*SQRT(G20)</f>
        <v>#NUM!</v>
      </c>
      <c r="AK20" s="25" t="e">
        <f>LN(H/C20)/(H20*SQRT(G20))+AF20*H20*SQRT(G20)</f>
        <v>#NUM!</v>
      </c>
      <c r="AL20" s="25" t="e">
        <f t="shared" si="11"/>
        <v>#VALUE!</v>
      </c>
      <c r="AM20" s="25" t="e">
        <f t="shared" si="11"/>
        <v>#VALUE!</v>
      </c>
      <c r="AN20" s="17" t="e">
        <f>AM20*AG20</f>
        <v>#VALUE!</v>
      </c>
      <c r="AO20" s="17" t="e">
        <f>NORMSDIST(AN20)</f>
        <v>#VALUE!</v>
      </c>
      <c r="AP20" s="17" t="e">
        <f>NORMSDIST(AN20-AM20*H20*SQRT(G20))</f>
        <v>#VALUE!</v>
      </c>
      <c r="AQ20" s="17" t="e">
        <f>AM20*AH20</f>
        <v>#VALUE!</v>
      </c>
      <c r="AR20" s="17" t="e">
        <f>NORMSDIST(AQ20)</f>
        <v>#VALUE!</v>
      </c>
      <c r="AS20" s="17" t="e">
        <f>NORMSDIST(AQ20-AM20*H20*SQRT(G20))</f>
        <v>#VALUE!</v>
      </c>
      <c r="AT20" s="17" t="e">
        <f>AL20*AI20</f>
        <v>#VALUE!</v>
      </c>
      <c r="AU20" s="17" t="e">
        <f>NORMSDIST(AT20)</f>
        <v>#VALUE!</v>
      </c>
      <c r="AV20" s="17" t="e">
        <f>AL20*AJ20</f>
        <v>#VALUE!</v>
      </c>
      <c r="AW20" s="17" t="e">
        <f>NORMSDIST(AV20)</f>
        <v>#VALUE!</v>
      </c>
      <c r="AX20" s="17" t="e">
        <f>NORMSDIST(AT20-AL20*H20*SQRT(G20))</f>
        <v>#VALUE!</v>
      </c>
      <c r="AY20" s="17" t="e">
        <f>NORMSDIST(AV20-AL20*H20*SQRT(G20))</f>
        <v>#VALUE!</v>
      </c>
      <c r="AZ20" s="5" t="e">
        <f>AM20*C20*EXP(-q*G20)*AO20-AM20*K*EXP(-I20*G20)*AP20</f>
        <v>#VALUE!</v>
      </c>
      <c r="BA20" s="5" t="e">
        <f>AM20*C20*EXP(-q*G20)*AR20-AM20*K*EXP(-I20*G20)*AS20</f>
        <v>#VALUE!</v>
      </c>
      <c r="BB20" s="5" t="e">
        <f>AM20*C20*EXP(-q*G20)*(H/C20)^(2*(AE20+1))*AU20-AM20*K*EXP(-I20*G20)*(H/C20)^(2*AE20)*AX20</f>
        <v>#VALUE!</v>
      </c>
      <c r="BC20" s="5" t="e">
        <f>AM20*C20*EXP(-q*G20)*(H/C20)^(2*(AE20+1))*AW20-AM20*K*EXP(-I20*G20)*(H/C20)^(2*AE20)*AY20</f>
        <v>#VALUE!</v>
      </c>
      <c r="BD20" s="5" t="e">
        <f>F20*EXP(-I20*G20)*(NORMSDIST(AL20*AH20-AL20*H20*SQRT(G20))-(H/C20)^(2*AE20)*AY20)</f>
        <v>#VALUE!</v>
      </c>
      <c r="BE20" s="5" t="e">
        <f>F20*((H/C20)^(AE20+AF20)*NORMSDIST(AL20*AK20)+(H/C20)^(AE20-AF20)*NORMSDIST(AL20*AK20-2*AL20*AF20*H20*SQRT(G20)))</f>
        <v>#NUM!</v>
      </c>
      <c r="BF20" s="5">
        <f t="shared" si="12"/>
        <v>0</v>
      </c>
      <c r="BG20" s="5">
        <f t="shared" si="12"/>
        <v>0</v>
      </c>
      <c r="BH20" s="2" t="s">
        <v>10</v>
      </c>
      <c r="BI20" s="56">
        <f>CHOOSE(BL15,0,0,0,0,0,0,BX9,BX10,BX11,BX12,BX13,BX14,BX15,BX16)</f>
        <v>0</v>
      </c>
      <c r="BJ20" s="56">
        <f>(BI$15-BI20)/epsilon</f>
        <v>0</v>
      </c>
    </row>
    <row r="21" spans="1:62" hidden="1">
      <c r="A21" s="1"/>
      <c r="B21" s="1"/>
      <c r="C21" s="73">
        <f>C15</f>
        <v>100</v>
      </c>
      <c r="D21" s="56">
        <f t="shared" ref="D21:J21" si="14">D15</f>
        <v>100</v>
      </c>
      <c r="E21" s="56">
        <f t="shared" si="14"/>
        <v>0</v>
      </c>
      <c r="F21" s="56">
        <f t="shared" si="14"/>
        <v>0</v>
      </c>
      <c r="G21" s="56">
        <f t="shared" si="14"/>
        <v>1</v>
      </c>
      <c r="H21" s="77">
        <f>H15+epsilon</f>
        <v>0.30099999999999999</v>
      </c>
      <c r="I21" s="56">
        <f t="shared" si="14"/>
        <v>0</v>
      </c>
      <c r="J21" s="56">
        <f t="shared" si="14"/>
        <v>0</v>
      </c>
      <c r="K21" s="64">
        <f>(LN(C21/D21)+(I21-J21+H21^2/2)*G21)/(H21*SQRT(G21))</f>
        <v>0.15049999999999999</v>
      </c>
      <c r="L21" s="66">
        <f>K21-H21*SQRT(G21)</f>
        <v>-0.15049999999999999</v>
      </c>
      <c r="M21" s="64">
        <f>NORMSDIST(K21)</f>
        <v>0.5598149246311761</v>
      </c>
      <c r="N21" s="64">
        <f>1/SQRT(2*3.14159265)*EXP(-(K21^2)/2)</f>
        <v>0.39444969698666321</v>
      </c>
      <c r="O21" s="64">
        <f>NORMSDIST(L21)</f>
        <v>0.44018507536882395</v>
      </c>
      <c r="P21" s="64">
        <f t="shared" si="10"/>
        <v>0.44018507536882395</v>
      </c>
      <c r="Q21" s="64">
        <f t="shared" si="10"/>
        <v>0.5598149246311761</v>
      </c>
      <c r="R21" s="56">
        <f>C21*EXP(-J21*G21)*M21-D21*EXP(-I21*G21)*O21</f>
        <v>11.962984926235215</v>
      </c>
      <c r="S21" s="56">
        <f>D21*EXP(-I21*G21)*Q21-C21*EXP(-J21*G21)*P21</f>
        <v>11.962984926235215</v>
      </c>
      <c r="T21" s="2" t="s">
        <v>71</v>
      </c>
      <c r="V21" s="9" t="s">
        <v>72</v>
      </c>
      <c r="W21" s="9">
        <f>CHOOSE(D75,C4,1,0,0,0,0)</f>
        <v>10</v>
      </c>
      <c r="X21" s="9">
        <f t="shared" si="13"/>
        <v>3</v>
      </c>
      <c r="Z21" s="56" t="s">
        <v>12</v>
      </c>
      <c r="AA21" s="75">
        <f>(AC21-AC$15)/epsilon</f>
        <v>0.19723226093359969</v>
      </c>
      <c r="AB21" s="75">
        <f>(AD21-AD$15)/epsilon</f>
        <v>-0.19723226093354418</v>
      </c>
      <c r="AC21" s="76">
        <f>EXP(-I21*G21)*M21</f>
        <v>0.5598149246311761</v>
      </c>
      <c r="AD21" s="28">
        <f>EXP(-I21*G21)*P21</f>
        <v>0.44018507536882395</v>
      </c>
      <c r="AE21" s="17">
        <f>(I21-q-H21^2/2)/H21^2</f>
        <v>-0.5</v>
      </c>
      <c r="AF21" s="17">
        <f>SQRT(AE21^2+2*I21/H21^2)</f>
        <v>0.5</v>
      </c>
      <c r="AG21" s="17">
        <f>LN(C21/K)/(H21*SQRT(G21))+(1+AE21)*H21*SQRT(G21)</f>
        <v>0.15049999999999999</v>
      </c>
      <c r="AH21" s="17" t="e">
        <f>LN(C21/H)/(H21*SQRT(G21))+(1+AE21)*H21*SQRT(G21)</f>
        <v>#DIV/0!</v>
      </c>
      <c r="AI21" s="17" t="e">
        <f>LN(H^2/(C21*K))/(H21*SQRT(G21))+(1+AE21)*H21*SQRT(G21)</f>
        <v>#NUM!</v>
      </c>
      <c r="AJ21" s="17" t="e">
        <f>LN(H/C21)/(H21*SQRT(G21))+(1+AE21)*H21*SQRT(G21)</f>
        <v>#NUM!</v>
      </c>
      <c r="AK21" s="25" t="e">
        <f>LN(H/C21)/(H21*SQRT(G21))+AF21*H21*SQRT(G21)</f>
        <v>#NUM!</v>
      </c>
      <c r="AL21" s="25" t="e">
        <f t="shared" si="11"/>
        <v>#VALUE!</v>
      </c>
      <c r="AM21" s="25" t="e">
        <f t="shared" si="11"/>
        <v>#VALUE!</v>
      </c>
      <c r="AN21" s="17" t="e">
        <f>AM21*AG21</f>
        <v>#VALUE!</v>
      </c>
      <c r="AO21" s="17" t="e">
        <f>NORMSDIST(AN21)</f>
        <v>#VALUE!</v>
      </c>
      <c r="AP21" s="17" t="e">
        <f>NORMSDIST(AN21-AM21*H21*SQRT(G21))</f>
        <v>#VALUE!</v>
      </c>
      <c r="AQ21" s="17" t="e">
        <f>AM21*AH21</f>
        <v>#VALUE!</v>
      </c>
      <c r="AR21" s="17" t="e">
        <f>NORMSDIST(AQ21)</f>
        <v>#VALUE!</v>
      </c>
      <c r="AS21" s="17" t="e">
        <f>NORMSDIST(AQ21-AM21*H21*SQRT(G21))</f>
        <v>#VALUE!</v>
      </c>
      <c r="AT21" s="17" t="e">
        <f>AL21*AI21</f>
        <v>#VALUE!</v>
      </c>
      <c r="AU21" s="17" t="e">
        <f>NORMSDIST(AT21)</f>
        <v>#VALUE!</v>
      </c>
      <c r="AV21" s="17" t="e">
        <f>AL21*AJ21</f>
        <v>#VALUE!</v>
      </c>
      <c r="AW21" s="17" t="e">
        <f>NORMSDIST(AV21)</f>
        <v>#VALUE!</v>
      </c>
      <c r="AX21" s="17" t="e">
        <f>NORMSDIST(AT21-AL21*H21*SQRT(G21))</f>
        <v>#VALUE!</v>
      </c>
      <c r="AY21" s="17" t="e">
        <f>NORMSDIST(AV21-AL21*H21*SQRT(G21))</f>
        <v>#VALUE!</v>
      </c>
      <c r="AZ21" s="5" t="e">
        <f>AM21*C21*EXP(-q*G21)*AO21-AM21*K*EXP(-I21*G21)*AP21</f>
        <v>#VALUE!</v>
      </c>
      <c r="BA21" s="5" t="e">
        <f>AM21*C21*EXP(-q*G21)*AR21-AM21*K*EXP(-I21*G21)*AS21</f>
        <v>#VALUE!</v>
      </c>
      <c r="BB21" s="5" t="e">
        <f>AM21*C21*EXP(-q*G21)*(H/C21)^(2*(AE21+1))*AU21-AM21*K*EXP(-I21*G21)*(H/C21)^(2*AE21)*AX21</f>
        <v>#VALUE!</v>
      </c>
      <c r="BC21" s="5" t="e">
        <f>AM21*C21*EXP(-q*G21)*(H/C21)^(2*(AE21+1))*AW21-AM21*K*EXP(-I21*G21)*(H/C21)^(2*AE21)*AY21</f>
        <v>#VALUE!</v>
      </c>
      <c r="BD21" s="5" t="e">
        <f>F21*EXP(-I21*G21)*(NORMSDIST(AL21*AH21-AL21*H21*SQRT(G21))-(H/C21)^(2*AE21)*AY21)</f>
        <v>#VALUE!</v>
      </c>
      <c r="BE21" s="5" t="e">
        <f>F21*((H/C21)^(AE21+AF21)*NORMSDIST(AL21*AK21)+(H/C21)^(AE21-AF21)*NORMSDIST(AL21*AK21-2*AL21*AF21*H21*SQRT(G21)))</f>
        <v>#NUM!</v>
      </c>
      <c r="BF21" s="5">
        <f t="shared" si="12"/>
        <v>0</v>
      </c>
      <c r="BG21" s="5">
        <f t="shared" si="12"/>
        <v>0</v>
      </c>
      <c r="BH21" s="2" t="s">
        <v>12</v>
      </c>
      <c r="BI21" s="56">
        <f>CHOOSE(BL15,0,0,0,0,0,0,BY9,BY10,BY11,BY12,BY13,BY14,BY15,BY16)</f>
        <v>0</v>
      </c>
      <c r="BJ21" s="56">
        <f>(BI21-BI$15)/epsilon</f>
        <v>0</v>
      </c>
    </row>
    <row r="22" spans="1:62" hidden="1">
      <c r="A22" s="1"/>
      <c r="B22" s="1"/>
      <c r="C22" s="73">
        <f>C15</f>
        <v>100</v>
      </c>
      <c r="D22" s="56">
        <f t="shared" ref="D22:J22" si="15">D15</f>
        <v>100</v>
      </c>
      <c r="E22" s="56">
        <f t="shared" si="15"/>
        <v>0</v>
      </c>
      <c r="F22" s="56">
        <f t="shared" si="15"/>
        <v>0</v>
      </c>
      <c r="G22" s="56">
        <f t="shared" si="15"/>
        <v>1</v>
      </c>
      <c r="H22" s="77">
        <f t="shared" si="15"/>
        <v>0.3</v>
      </c>
      <c r="I22" s="56">
        <f>I15+epsilon</f>
        <v>1E-3</v>
      </c>
      <c r="J22" s="56">
        <f t="shared" si="15"/>
        <v>0</v>
      </c>
      <c r="K22" s="64">
        <f>(LN(C22/D22)+(I22-J22+H22^2/2)*G22)/(H22*SQRT(G22))</f>
        <v>0.15333333333333335</v>
      </c>
      <c r="L22" s="66">
        <f>K22-H22*SQRT(G22)</f>
        <v>-0.14666666666666664</v>
      </c>
      <c r="M22" s="64">
        <f>NORMSDIST(K22)</f>
        <v>0.5609322923611344</v>
      </c>
      <c r="N22" s="64">
        <f>1/SQRT(2*3.14159265)*EXP(-(K22^2)/2)</f>
        <v>0.39427995031914753</v>
      </c>
      <c r="O22" s="64">
        <f>NORMSDIST(L22)</f>
        <v>0.44169756508438829</v>
      </c>
      <c r="P22" s="64">
        <f t="shared" si="10"/>
        <v>0.43906770763886555</v>
      </c>
      <c r="Q22" s="64">
        <f t="shared" si="10"/>
        <v>0.55830243491561171</v>
      </c>
      <c r="R22" s="56">
        <f>C22*EXP(-J22*G22)*M22-D22*EXP(-I22*G22)*O22</f>
        <v>11.967620406664579</v>
      </c>
      <c r="S22" s="56">
        <f>D22*EXP(-I22*G22)*Q22-C22*EXP(-J22*G22)*P22</f>
        <v>11.867670390002083</v>
      </c>
      <c r="T22" s="2" t="s">
        <v>73</v>
      </c>
      <c r="V22" s="9" t="s">
        <v>74</v>
      </c>
      <c r="W22" s="9">
        <f>IF(D75=1,1,0)</f>
        <v>1</v>
      </c>
      <c r="X22" s="9">
        <f t="shared" si="13"/>
        <v>4</v>
      </c>
      <c r="Z22" s="56" t="s">
        <v>13</v>
      </c>
      <c r="AA22" s="75">
        <f>(AC22-AC$15)/epsilon</f>
        <v>0.75394807121165197</v>
      </c>
      <c r="AB22" s="75">
        <f>(AD22-AD$15)/epsilon</f>
        <v>-1.7534482378366301</v>
      </c>
      <c r="AC22" s="76">
        <f>EXP(-I22*G22)*M22</f>
        <v>0.56037164044145416</v>
      </c>
      <c r="AD22" s="28">
        <f>EXP(-I22*G22)*P22</f>
        <v>0.43862885939192087</v>
      </c>
      <c r="AE22" s="17">
        <f>(I22-q-H22^2/2)/H22^2</f>
        <v>-0.48888888888888887</v>
      </c>
      <c r="AF22" s="17">
        <f>SQRT(AE22^2+2*I22/H22^2)</f>
        <v>0.51111111111111107</v>
      </c>
      <c r="AG22" s="17">
        <f>LN(C22/K)/(H22*SQRT(G22))+(1+AE22)*H22*SQRT(G22)</f>
        <v>0.15333333333333332</v>
      </c>
      <c r="AH22" s="17" t="e">
        <f>LN(C22/H)/(H22*SQRT(G22))+(1+AE22)*H22*SQRT(G22)</f>
        <v>#DIV/0!</v>
      </c>
      <c r="AI22" s="17" t="e">
        <f>LN(H^2/(C22*K))/(H22*SQRT(G22))+(1+AE22)*H22*SQRT(G22)</f>
        <v>#NUM!</v>
      </c>
      <c r="AJ22" s="17" t="e">
        <f>LN(H/C22)/(H22*SQRT(G22))+(1+AE22)*H22*SQRT(G22)</f>
        <v>#NUM!</v>
      </c>
      <c r="AK22" s="25" t="e">
        <f>LN(H/C22)/(H22*SQRT(G22))+AF22*H22*SQRT(G22)</f>
        <v>#NUM!</v>
      </c>
      <c r="AL22" s="25" t="e">
        <f>AL15</f>
        <v>#VALUE!</v>
      </c>
      <c r="AM22" s="25" t="e">
        <f>AM15</f>
        <v>#VALUE!</v>
      </c>
      <c r="AN22" s="17" t="e">
        <f>AM22*AG22</f>
        <v>#VALUE!</v>
      </c>
      <c r="AO22" s="17" t="e">
        <f>NORMSDIST(AN22)</f>
        <v>#VALUE!</v>
      </c>
      <c r="AP22" s="17" t="e">
        <f>NORMSDIST(AN22-AM22*H22*SQRT(G22))</f>
        <v>#VALUE!</v>
      </c>
      <c r="AQ22" s="17" t="e">
        <f>AM22*AH22</f>
        <v>#VALUE!</v>
      </c>
      <c r="AR22" s="17" t="e">
        <f>NORMSDIST(AQ22)</f>
        <v>#VALUE!</v>
      </c>
      <c r="AS22" s="17" t="e">
        <f>NORMSDIST(AQ22-AM22*H22*SQRT(G22))</f>
        <v>#VALUE!</v>
      </c>
      <c r="AT22" s="17" t="e">
        <f>AL22*AI22</f>
        <v>#VALUE!</v>
      </c>
      <c r="AU22" s="17" t="e">
        <f>NORMSDIST(AT22)</f>
        <v>#VALUE!</v>
      </c>
      <c r="AV22" s="17" t="e">
        <f>AL22*AJ22</f>
        <v>#VALUE!</v>
      </c>
      <c r="AW22" s="17" t="e">
        <f>NORMSDIST(AV22)</f>
        <v>#VALUE!</v>
      </c>
      <c r="AX22" s="17" t="e">
        <f>NORMSDIST(AT22-AL22*H22*SQRT(G22))</f>
        <v>#VALUE!</v>
      </c>
      <c r="AY22" s="17" t="e">
        <f>NORMSDIST(AV22-AL22*H22*SQRT(G22))</f>
        <v>#VALUE!</v>
      </c>
      <c r="AZ22" s="5" t="e">
        <f>AM22*C22*EXP(-q*G22)*AO22-AM22*K*EXP(-I22*G22)*AP22</f>
        <v>#VALUE!</v>
      </c>
      <c r="BA22" s="5" t="e">
        <f>AM22*C22*EXP(-q*G22)*AR22-AM22*K*EXP(-I22*G22)*AS22</f>
        <v>#VALUE!</v>
      </c>
      <c r="BB22" s="5" t="e">
        <f>AM22*C22*EXP(-q*G22)*(H/C22)^(2*(AE22+1))*AU22-AM22*K*EXP(-I22*G22)*(H/C22)^(2*AE22)*AX22</f>
        <v>#VALUE!</v>
      </c>
      <c r="BC22" s="5" t="e">
        <f>AM22*C22*EXP(-q*G22)*(H/C22)^(2*(AE22+1))*AW22-AM22*K*EXP(-I22*G22)*(H/C22)^(2*AE22)*AY22</f>
        <v>#VALUE!</v>
      </c>
      <c r="BD22" s="5" t="e">
        <f>F22*EXP(-I22*G22)*(NORMSDIST(AL22*AH22-AL22*H22*SQRT(G22))-(H/C22)^(2*AE22)*AY22)</f>
        <v>#VALUE!</v>
      </c>
      <c r="BE22" s="5" t="e">
        <f>F22*((H/C22)^(AE22+AF22)*NORMSDIST(AL22*AK22)+(H/C22)^(AE22-AF22)*NORMSDIST(AL22*AK22-2*AL22*AF22*H22*SQRT(G22)))</f>
        <v>#VALUE!</v>
      </c>
      <c r="BF22" s="5">
        <f>BF15</f>
        <v>0</v>
      </c>
      <c r="BG22" s="5">
        <f>BG15</f>
        <v>0</v>
      </c>
      <c r="BH22" s="2" t="s">
        <v>13</v>
      </c>
      <c r="BI22" s="56">
        <f>CHOOSE(BL15,0,0,0,0,0,0,BZ9,BZ10,BZ11,BZ12,BZ13,BZ14,BZ15,BZ16)</f>
        <v>0</v>
      </c>
      <c r="BJ22" s="56">
        <f>(BI22-BI$15)/epsilon</f>
        <v>0</v>
      </c>
    </row>
    <row r="23" spans="1:62" hidden="1">
      <c r="A23" s="1"/>
      <c r="B23" s="1"/>
      <c r="C23" s="78"/>
      <c r="D23" s="55"/>
      <c r="E23" s="55"/>
      <c r="F23" s="55"/>
      <c r="G23" s="55"/>
      <c r="H23" s="55"/>
      <c r="I23" s="55"/>
      <c r="J23" s="55"/>
      <c r="K23" s="79"/>
      <c r="L23" s="80"/>
      <c r="M23" s="79"/>
      <c r="N23" s="79"/>
      <c r="O23" s="79"/>
      <c r="P23" s="79"/>
      <c r="Q23" s="79"/>
      <c r="R23" s="55"/>
      <c r="S23" s="55"/>
      <c r="V23" s="9" t="s">
        <v>35</v>
      </c>
      <c r="W23" s="9">
        <f>CHOOSE(D75,AC4,AC7,AC11,-AC7,AC7,AC7)</f>
        <v>2.6302998326342368E-14</v>
      </c>
      <c r="X23" s="9">
        <f t="shared" si="13"/>
        <v>5</v>
      </c>
      <c r="AC23" s="4"/>
      <c r="AD23" s="4"/>
      <c r="AE23" s="55"/>
      <c r="AF23" s="55"/>
      <c r="AG23" s="55"/>
      <c r="AH23" s="55"/>
      <c r="AI23" s="55"/>
      <c r="AJ23" s="55"/>
      <c r="AK23" s="45"/>
      <c r="AL23" s="45"/>
      <c r="AM23" s="45"/>
      <c r="AN23" s="55"/>
      <c r="AO23" s="55"/>
      <c r="AP23" s="55"/>
      <c r="AQ23" s="55"/>
      <c r="AR23" s="55"/>
      <c r="AS23" s="55"/>
      <c r="AT23" s="55"/>
      <c r="AU23" s="55"/>
      <c r="AV23" s="55"/>
      <c r="AW23" s="55"/>
      <c r="AX23" s="55"/>
      <c r="AY23" s="55"/>
      <c r="AZ23" s="7"/>
      <c r="BA23" s="7"/>
      <c r="BB23" s="7"/>
      <c r="BC23" s="7"/>
      <c r="BD23" s="7"/>
      <c r="BE23" s="7"/>
      <c r="BF23" s="7"/>
      <c r="BG23" s="7"/>
      <c r="BI23" s="81"/>
    </row>
    <row r="24" spans="1:62" s="4" customFormat="1" ht="12.75" hidden="1" customHeight="1">
      <c r="A24" s="24"/>
      <c r="B24" s="24"/>
      <c r="D24" s="206" t="s">
        <v>3</v>
      </c>
      <c r="E24" s="207"/>
      <c r="F24" s="208"/>
      <c r="J24" s="82" t="s">
        <v>8</v>
      </c>
      <c r="K24" s="82" t="s">
        <v>9</v>
      </c>
      <c r="L24" s="82" t="s">
        <v>11</v>
      </c>
      <c r="M24" s="82" t="s">
        <v>10</v>
      </c>
      <c r="N24" s="82" t="s">
        <v>12</v>
      </c>
      <c r="O24" s="82" t="s">
        <v>13</v>
      </c>
      <c r="Q24" s="4" t="s">
        <v>75</v>
      </c>
      <c r="R24" s="42">
        <v>0.6</v>
      </c>
      <c r="V24" s="9" t="s">
        <v>36</v>
      </c>
      <c r="W24" s="9">
        <f>CHOOSE(D75,AD4,AD7,AD11,-AD7,AD7,AD7)</f>
        <v>0.99999999999997369</v>
      </c>
      <c r="X24" s="9">
        <f t="shared" si="13"/>
        <v>6</v>
      </c>
    </row>
    <row r="25" spans="1:62" ht="12.75" hidden="1" customHeight="1">
      <c r="A25" s="1"/>
      <c r="B25" s="1"/>
      <c r="C25" s="2"/>
      <c r="D25" s="220">
        <f>VLOOKUP($B$15,$V$19:$X$37,3,FALSE)</f>
        <v>1</v>
      </c>
      <c r="E25" s="221"/>
      <c r="F25" s="222"/>
      <c r="J25" s="9">
        <f>CHOOSE(type,R15,S15,C15,1,AC15,AD15,BI15,BI15,BI15,BI15,BI15,BI15,BI15,BI15)*CHOOSE(A15,H39,H40,H41,H42)</f>
        <v>11.923538474048499</v>
      </c>
      <c r="K25" s="9">
        <f>CHOOSE(type,T15,U15,1,0,AC18,AD18,BJ19,BJ19,BJ19,BJ19,BJ19,BJ19,BJ19,BJ19)*CHOOSE(A15,H39,H40,H41,H42)</f>
        <v>0.5596176923702425</v>
      </c>
      <c r="L25" s="9">
        <f>CHOOSE(type,X15,X15,0,0,AC19,AD19,BJ17,BJ17,BJ17,BJ17,BJ17,BJ17,BJ17,BJ17)*CHOOSE(A15,H39,H40,H41,H42)</f>
        <v>1.3149311037775602E-2</v>
      </c>
      <c r="M25" s="9">
        <f>CHOOSE(type,V15,W15,0,0,AA20,AB20,BJ20,BJ20,BJ20,BJ20,BJ20,BJ20,BJ20,BJ20)*CHOOSE(A15,H39,H40,H41,H42)</f>
        <v>-5.9171899669990209</v>
      </c>
      <c r="N25" s="9">
        <f>CHOOSE(type,Z15,Z15,0,0,AA21,AB21,BJ21,BJ21,BJ21,BJ21,BJ21,BJ21,BJ21,BJ21)*CHOOSE(A15,H39,H40,H41,H42)</f>
        <v>39.447933113326805</v>
      </c>
      <c r="O25" s="9">
        <f>CHOOSE(type,AA15,AB15,0,0,AA22,AB22,BJ22,BJ22,BJ22,BJ22,BJ22,BJ22,BJ22,BJ22)*CHOOSE(A15,H39,H40,H41,H42)</f>
        <v>44.038230762975751</v>
      </c>
      <c r="Q25" s="2" t="s">
        <v>76</v>
      </c>
      <c r="R25" s="2">
        <f>B82*(1-R24)</f>
        <v>40</v>
      </c>
      <c r="S25" s="2">
        <f>S39*(1-R24)</f>
        <v>0.12</v>
      </c>
      <c r="T25" s="2">
        <v>0.01</v>
      </c>
      <c r="V25" s="9" t="s">
        <v>77</v>
      </c>
      <c r="W25" s="83">
        <f>CHOOSE(D75,barrier_prem,BH7,BH13,-BH7,BH7,BH7)</f>
        <v>0</v>
      </c>
      <c r="X25" s="9">
        <f t="shared" si="13"/>
        <v>7</v>
      </c>
    </row>
    <row r="26" spans="1:62" ht="32" hidden="1">
      <c r="A26" s="1"/>
      <c r="B26" s="1"/>
      <c r="C26" s="2"/>
      <c r="D26" s="84"/>
      <c r="E26" s="84"/>
      <c r="I26" s="9">
        <v>1</v>
      </c>
      <c r="J26" s="9">
        <f t="dataTable" ref="J26:O29" dt2D="0" dtr="0" r1="A15" ca="1"/>
        <v>11.923538474048499</v>
      </c>
      <c r="K26" s="9">
        <v>0.5596176923702425</v>
      </c>
      <c r="L26" s="9">
        <v>1.3149311037775602E-2</v>
      </c>
      <c r="M26" s="9">
        <v>-5.9171899669990209</v>
      </c>
      <c r="N26" s="9">
        <v>39.447933113326805</v>
      </c>
      <c r="O26" s="9">
        <v>44.038230762975751</v>
      </c>
      <c r="Q26" s="2" t="s">
        <v>78</v>
      </c>
      <c r="R26" s="2">
        <f>B82*(1+R24)</f>
        <v>160</v>
      </c>
      <c r="S26" s="2">
        <f>S39*(1+R24)</f>
        <v>0.48</v>
      </c>
      <c r="T26" s="2">
        <f>MAX(0.01,IF(L107=inf,1,L107))</f>
        <v>1</v>
      </c>
      <c r="V26" s="9" t="s">
        <v>79</v>
      </c>
      <c r="W26" s="83">
        <f>CHOOSE(D75,barrier_prem,BH7,BH13,-BH7,BH7,BH7)</f>
        <v>0</v>
      </c>
      <c r="X26" s="9">
        <f t="shared" si="13"/>
        <v>8</v>
      </c>
      <c r="AK26" s="85"/>
    </row>
    <row r="27" spans="1:62" hidden="1">
      <c r="A27" s="1"/>
      <c r="B27" s="1"/>
      <c r="C27" s="2"/>
      <c r="D27" s="86"/>
      <c r="E27" s="86"/>
      <c r="I27" s="9">
        <f>I26+1</f>
        <v>2</v>
      </c>
      <c r="J27" s="9">
        <v>1.0378327999985926</v>
      </c>
      <c r="K27" s="9">
        <v>8.4009222909964265E-2</v>
      </c>
      <c r="L27" s="9">
        <v>-1.2601475418705377E-3</v>
      </c>
      <c r="M27" s="9">
        <v>-0.18855090251745921</v>
      </c>
      <c r="N27" s="9">
        <v>0.12601430662106949</v>
      </c>
      <c r="O27" s="9">
        <v>0.73621527910772144</v>
      </c>
      <c r="Q27" s="2" t="s">
        <v>80</v>
      </c>
      <c r="R27" s="2">
        <f>ROWS(spot_array)</f>
        <v>45</v>
      </c>
      <c r="V27" s="83" t="s">
        <v>81</v>
      </c>
      <c r="W27" s="83">
        <f>CHOOSE(D75,barrier_prem,BH7,BH13,-BH7,BH7,BH7)</f>
        <v>0</v>
      </c>
      <c r="X27" s="9">
        <f t="shared" si="13"/>
        <v>9</v>
      </c>
    </row>
    <row r="28" spans="1:62" hidden="1">
      <c r="A28" s="1"/>
      <c r="B28" s="1"/>
      <c r="C28" s="2"/>
      <c r="D28" s="86"/>
      <c r="E28" s="86"/>
      <c r="I28" s="9">
        <f>I27+1</f>
        <v>3</v>
      </c>
      <c r="J28" s="9">
        <v>14.225545569658003</v>
      </c>
      <c r="K28" s="9">
        <v>0.51511194882891687</v>
      </c>
      <c r="L28" s="9">
        <v>-2.2866524673759159E-2</v>
      </c>
      <c r="M28" s="9">
        <v>10.294653775202001</v>
      </c>
      <c r="N28" s="9">
        <v>-34.408652668793671</v>
      </c>
      <c r="O28" s="9">
        <v>24.421295319686287</v>
      </c>
      <c r="Q28" s="2" t="s">
        <v>82</v>
      </c>
      <c r="R28" s="2">
        <f>CHOOSE(C75,(R26-R25)/(R27-1),(S26-S25)/(R27-1),(T26-T25)/(R27-1))</f>
        <v>2.7272727272727271</v>
      </c>
      <c r="V28" s="83" t="s">
        <v>83</v>
      </c>
      <c r="W28" s="83">
        <f>CHOOSE(D75,barrier_prem,BH7,BH13,-BH7,BH7,BH7)</f>
        <v>0</v>
      </c>
      <c r="X28" s="9">
        <f t="shared" si="13"/>
        <v>10</v>
      </c>
    </row>
    <row r="29" spans="1:62" hidden="1">
      <c r="A29" s="1"/>
      <c r="B29" s="1"/>
      <c r="C29" s="2"/>
      <c r="D29" s="86"/>
      <c r="E29" s="86"/>
      <c r="I29" s="9">
        <f>I28+1</f>
        <v>4</v>
      </c>
      <c r="J29" s="9">
        <v>42.235013311614082</v>
      </c>
      <c r="K29" s="9">
        <v>-2.2888249334419299</v>
      </c>
      <c r="L29" s="9">
        <v>9.3504154400709527E-2</v>
      </c>
      <c r="M29" s="9">
        <v>-42.076869480319289</v>
      </c>
      <c r="N29" s="9">
        <v>140.25623160106431</v>
      </c>
      <c r="O29" s="9">
        <v>-135.55875332790353</v>
      </c>
      <c r="V29" s="83" t="s">
        <v>84</v>
      </c>
      <c r="W29" s="83">
        <f>CHOOSE(D75,barrier_prem,BH7,BH13,-BH7,BH7,BH7)</f>
        <v>0</v>
      </c>
      <c r="X29" s="9">
        <f t="shared" si="13"/>
        <v>11</v>
      </c>
    </row>
    <row r="30" spans="1:62" hidden="1">
      <c r="A30" s="1"/>
      <c r="B30" s="1"/>
      <c r="C30" s="2"/>
      <c r="D30" s="86"/>
      <c r="E30" s="86"/>
      <c r="S30" s="2">
        <v>1</v>
      </c>
      <c r="T30" s="2" t="s">
        <v>17</v>
      </c>
      <c r="V30" s="83" t="s">
        <v>85</v>
      </c>
      <c r="W30" s="83">
        <f>CHOOSE(D75,barrier_prem,BH7,BH13,-BH7,BH7,BH7)</f>
        <v>0</v>
      </c>
      <c r="X30" s="9">
        <f t="shared" si="13"/>
        <v>12</v>
      </c>
    </row>
    <row r="31" spans="1:62" hidden="1">
      <c r="A31" s="1"/>
      <c r="B31" s="1"/>
      <c r="C31" s="2"/>
      <c r="D31" s="87"/>
      <c r="E31" s="86"/>
      <c r="J31" s="62"/>
      <c r="T31" s="2" t="s">
        <v>86</v>
      </c>
      <c r="V31" s="83" t="s">
        <v>87</v>
      </c>
      <c r="W31" s="83">
        <f>CHOOSE(D75,barrier_prem,BH7,BH13,-BH7,BH7,BH7)</f>
        <v>0</v>
      </c>
      <c r="X31" s="9">
        <f t="shared" si="13"/>
        <v>13</v>
      </c>
    </row>
    <row r="32" spans="1:62" hidden="1">
      <c r="A32" s="1"/>
      <c r="B32" s="1"/>
      <c r="C32" s="2"/>
      <c r="D32" s="86"/>
      <c r="E32" s="86"/>
      <c r="T32" s="2" t="s">
        <v>88</v>
      </c>
      <c r="V32" s="83" t="s">
        <v>89</v>
      </c>
      <c r="W32" s="83">
        <f>CHOOSE(D75,barrier_prem,BH7,BH13,-BH7,BH7,BH7)</f>
        <v>0</v>
      </c>
      <c r="X32" s="9">
        <f t="shared" si="13"/>
        <v>14</v>
      </c>
    </row>
    <row r="33" spans="1:67" ht="7.5" customHeight="1" thickBot="1">
      <c r="A33" s="1"/>
      <c r="B33" s="1"/>
      <c r="C33" s="2"/>
      <c r="D33" s="86"/>
      <c r="E33" s="86"/>
    </row>
    <row r="34" spans="1:67" ht="3" customHeight="1">
      <c r="A34" s="1"/>
      <c r="B34" s="88"/>
      <c r="C34" s="89"/>
      <c r="D34" s="90"/>
      <c r="E34" s="90"/>
      <c r="F34" s="89"/>
      <c r="G34" s="89"/>
      <c r="H34" s="89"/>
      <c r="I34" s="89"/>
      <c r="J34" s="91"/>
      <c r="K34" s="89"/>
      <c r="L34" s="89"/>
      <c r="M34" s="89"/>
      <c r="N34" s="89"/>
      <c r="O34" s="89"/>
      <c r="P34" s="89"/>
      <c r="Q34" s="89"/>
      <c r="R34" s="89"/>
      <c r="S34" s="89"/>
      <c r="T34" s="92"/>
    </row>
    <row r="35" spans="1:67" ht="15.5">
      <c r="A35" s="1"/>
      <c r="B35" s="93"/>
      <c r="C35" s="55"/>
      <c r="D35" s="219" t="s">
        <v>90</v>
      </c>
      <c r="E35" s="219"/>
      <c r="F35" s="219"/>
      <c r="G35" s="219"/>
      <c r="H35" s="219"/>
      <c r="I35" s="219"/>
      <c r="J35" s="219"/>
      <c r="K35" s="219"/>
      <c r="L35" s="219"/>
      <c r="M35" s="219"/>
      <c r="N35" s="219"/>
      <c r="O35" s="55"/>
      <c r="P35" s="55"/>
      <c r="Q35" s="55"/>
      <c r="R35" s="55"/>
      <c r="S35" s="55"/>
      <c r="T35" s="94"/>
    </row>
    <row r="36" spans="1:67">
      <c r="A36" s="1"/>
      <c r="B36" s="93"/>
      <c r="C36" s="95"/>
      <c r="D36" s="218" t="str">
        <f>IF(U37&gt;0,"Barrier option has to have a barrier level specified","")</f>
        <v/>
      </c>
      <c r="E36" s="218"/>
      <c r="F36" s="218"/>
      <c r="G36" s="218"/>
      <c r="H36" s="218"/>
      <c r="I36" s="218"/>
      <c r="J36" s="218"/>
      <c r="K36" s="218"/>
      <c r="L36" s="218"/>
      <c r="M36" s="218"/>
      <c r="N36" s="218"/>
      <c r="O36" s="55"/>
      <c r="P36" s="55"/>
      <c r="Q36" s="55"/>
      <c r="R36" s="55"/>
      <c r="S36" s="55"/>
      <c r="T36" s="94"/>
    </row>
    <row r="37" spans="1:67">
      <c r="A37" s="1"/>
      <c r="B37" s="93"/>
      <c r="C37" s="97" t="s">
        <v>3</v>
      </c>
      <c r="D37" s="98" t="s">
        <v>18</v>
      </c>
      <c r="E37" s="98" t="s">
        <v>19</v>
      </c>
      <c r="F37" s="98" t="s">
        <v>20</v>
      </c>
      <c r="G37" s="98" t="s">
        <v>91</v>
      </c>
      <c r="H37" s="98" t="s">
        <v>92</v>
      </c>
      <c r="I37" s="98" t="s">
        <v>93</v>
      </c>
      <c r="J37" s="98" t="s">
        <v>9</v>
      </c>
      <c r="K37" s="98" t="s">
        <v>11</v>
      </c>
      <c r="L37" s="98" t="s">
        <v>10</v>
      </c>
      <c r="M37" s="98" t="s">
        <v>12</v>
      </c>
      <c r="N37" s="98" t="s">
        <v>13</v>
      </c>
      <c r="O37" s="99" t="s">
        <v>94</v>
      </c>
      <c r="P37" s="55"/>
      <c r="Q37" s="55"/>
      <c r="R37" s="55"/>
      <c r="S37" s="55"/>
      <c r="T37" s="94"/>
      <c r="U37" s="86">
        <f>U39+U40+U41+U42</f>
        <v>0</v>
      </c>
    </row>
    <row r="38" spans="1:67" ht="3.75" customHeight="1">
      <c r="A38" s="1"/>
      <c r="B38" s="93"/>
      <c r="C38" s="100"/>
      <c r="D38" s="55"/>
      <c r="E38" s="55"/>
      <c r="F38" s="55"/>
      <c r="G38" s="55"/>
      <c r="H38" s="55"/>
      <c r="I38" s="55"/>
      <c r="J38" s="55"/>
      <c r="K38" s="55"/>
      <c r="L38" s="55"/>
      <c r="M38" s="55"/>
      <c r="N38" s="55"/>
      <c r="O38" s="101"/>
      <c r="P38" s="55"/>
      <c r="Q38" s="55"/>
      <c r="R38" s="55"/>
      <c r="S38" s="55"/>
      <c r="T38" s="94"/>
    </row>
    <row r="39" spans="1:67">
      <c r="A39" s="1" t="str">
        <f>IF(AND(C39&lt;&gt;"Call",C39&lt;&gt;"Put",C39&lt;&gt;"Call Digital",C39&lt;&gt;"Put Digital"),", barrier = " &amp; E39 &amp; ", rebate = " &amp; F39,"")</f>
        <v/>
      </c>
      <c r="B39" s="93" t="str">
        <f>IF(NOT(P39),"n/a",C39&amp; " [" &amp; H39 &amp; "] " &amp; IF(AND(C39&lt;&gt;"Cash",C39&lt;&gt;"Asset"),",strike = " &amp; D39,"")&amp;A39&amp;IF(AND(C39&lt;&gt;"Cash",C39&lt;&gt;"Asset"),", expiry = " &amp; G39))</f>
        <v>Call [1] ,strike = 100, expiry = 1</v>
      </c>
      <c r="C39" s="102" t="s">
        <v>32</v>
      </c>
      <c r="D39" s="103">
        <v>100</v>
      </c>
      <c r="E39" s="103"/>
      <c r="F39" s="103"/>
      <c r="G39" s="103">
        <v>1</v>
      </c>
      <c r="H39" s="104">
        <v>1</v>
      </c>
      <c r="I39" s="105">
        <f t="shared" ref="I39:N42" si="16">J26</f>
        <v>11.923538474048499</v>
      </c>
      <c r="J39" s="105">
        <f t="shared" si="16"/>
        <v>0.5596176923702425</v>
      </c>
      <c r="K39" s="105">
        <f t="shared" si="16"/>
        <v>1.3149311037775602E-2</v>
      </c>
      <c r="L39" s="105">
        <f t="shared" si="16"/>
        <v>-5.9171899669990209</v>
      </c>
      <c r="M39" s="105">
        <f t="shared" si="16"/>
        <v>39.447933113326805</v>
      </c>
      <c r="N39" s="105">
        <f t="shared" si="16"/>
        <v>44.038230762975751</v>
      </c>
      <c r="O39" s="106" t="str">
        <f>IF(P39,"yes","no")</f>
        <v>yes</v>
      </c>
      <c r="P39" s="107" t="b">
        <v>1</v>
      </c>
      <c r="Q39" s="108" t="s">
        <v>86</v>
      </c>
      <c r="R39" s="109"/>
      <c r="S39" s="110">
        <v>0.3</v>
      </c>
      <c r="T39" s="111">
        <f>VLOOKUP(C39,$V$19:$X$32,3,FALSE)</f>
        <v>1</v>
      </c>
      <c r="U39" s="86" t="b">
        <f>AND(T39&gt;=7,T39&lt;=14,LEN(E39)=0)</f>
        <v>0</v>
      </c>
      <c r="V39" s="112"/>
      <c r="BG39" s="4"/>
      <c r="BN39" s="4"/>
      <c r="BO39" s="4"/>
    </row>
    <row r="40" spans="1:67">
      <c r="A40" s="1" t="str">
        <f>IF(AND(C40&lt;&gt;"Call",C40&lt;&gt;"Put",C40&lt;&gt;"Call Digital",C40&lt;&gt;"Put Digital"),", barrier = " &amp; E40 &amp; ", rebate = " &amp; F40,"")</f>
        <v/>
      </c>
      <c r="B40" s="93" t="str">
        <f>IF(O40="no","n/a",C40&amp; " [" &amp; H40 &amp; "] " &amp; IF(AND(C40&lt;&gt;"Cash",C40&lt;&gt;"Asset"),",strike = " &amp; D40,"")&amp;A40&amp;IF(AND(C40&lt;&gt;"Cash",C40&lt;&gt;"Asset"),", expiry = " &amp; G40))</f>
        <v>n/a</v>
      </c>
      <c r="C40" s="102" t="s">
        <v>35</v>
      </c>
      <c r="D40" s="103">
        <v>100</v>
      </c>
      <c r="E40" s="103"/>
      <c r="F40" s="103"/>
      <c r="G40" s="103">
        <v>0.1</v>
      </c>
      <c r="H40" s="104">
        <v>2</v>
      </c>
      <c r="I40" s="105">
        <f t="shared" si="16"/>
        <v>1.0378327999985926</v>
      </c>
      <c r="J40" s="105">
        <f t="shared" si="16"/>
        <v>8.4009222909964265E-2</v>
      </c>
      <c r="K40" s="105">
        <f t="shared" si="16"/>
        <v>-1.2601475418705377E-3</v>
      </c>
      <c r="L40" s="105">
        <f t="shared" si="16"/>
        <v>-0.18855090251745921</v>
      </c>
      <c r="M40" s="105">
        <f t="shared" si="16"/>
        <v>0.12601430662106949</v>
      </c>
      <c r="N40" s="105">
        <f t="shared" si="16"/>
        <v>0.73621527910772144</v>
      </c>
      <c r="O40" s="106" t="str">
        <f>IF(P40,"yes","no")</f>
        <v>no</v>
      </c>
      <c r="P40" s="113" t="b">
        <v>0</v>
      </c>
      <c r="Q40" s="114" t="s">
        <v>95</v>
      </c>
      <c r="R40" s="115"/>
      <c r="S40" s="116">
        <v>0</v>
      </c>
      <c r="T40" s="111">
        <f>VLOOKUP(C40,$V$19:$X$32,3,FALSE)</f>
        <v>5</v>
      </c>
      <c r="U40" s="86" t="b">
        <f>AND(T40&gt;=7,T40&lt;=14,LEN(E40)=0)</f>
        <v>0</v>
      </c>
      <c r="V40" s="112"/>
      <c r="W40" s="62"/>
      <c r="BG40" s="4"/>
    </row>
    <row r="41" spans="1:67">
      <c r="A41" s="1" t="str">
        <f>IF(AND(C41&lt;&gt;"Call",C41&lt;&gt;"Put",C41&lt;&gt;"Call Digital",C41&lt;&gt;"Put Digital"),", barrier = " &amp; E41 &amp; ", rebate = " &amp; F41,"")</f>
        <v>, barrier = 140, rebate = 1</v>
      </c>
      <c r="B41" s="93" t="str">
        <f>IF(O41="no","n/a",C41&amp; " [" &amp; H41 &amp; "] " &amp; IF(AND(C41&lt;&gt;"Cash",C41&lt;&gt;"Asset"),",strike = " &amp; D41,"")&amp;A41&amp;IF(AND(C41&lt;&gt;"Cash",C41&lt;&gt;"Asset"),", expiry = " &amp; G41))</f>
        <v>n/a</v>
      </c>
      <c r="C41" s="102" t="s">
        <v>77</v>
      </c>
      <c r="D41" s="103">
        <f>D40</f>
        <v>100</v>
      </c>
      <c r="E41" s="103">
        <v>140</v>
      </c>
      <c r="F41" s="103">
        <v>1</v>
      </c>
      <c r="G41" s="103">
        <v>0.5</v>
      </c>
      <c r="H41" s="104">
        <v>3</v>
      </c>
      <c r="I41" s="105">
        <f t="shared" si="16"/>
        <v>14.225545569658003</v>
      </c>
      <c r="J41" s="105">
        <f t="shared" si="16"/>
        <v>0.51511194882891687</v>
      </c>
      <c r="K41" s="105">
        <f t="shared" si="16"/>
        <v>-2.2866524673759159E-2</v>
      </c>
      <c r="L41" s="105">
        <f t="shared" si="16"/>
        <v>10.294653775202001</v>
      </c>
      <c r="M41" s="105">
        <f t="shared" si="16"/>
        <v>-34.408652668793671</v>
      </c>
      <c r="N41" s="105">
        <f t="shared" si="16"/>
        <v>24.421295319686287</v>
      </c>
      <c r="O41" s="106" t="str">
        <f>IF(P41,"yes","no")</f>
        <v>no</v>
      </c>
      <c r="P41" s="113" t="b">
        <v>0</v>
      </c>
      <c r="Q41" s="114" t="s">
        <v>96</v>
      </c>
      <c r="R41" s="115"/>
      <c r="S41" s="116">
        <v>0</v>
      </c>
      <c r="T41" s="111">
        <f>VLOOKUP(C41,$V$19:$X$32,3,FALSE)</f>
        <v>7</v>
      </c>
      <c r="U41" s="86" t="b">
        <f>AND(T41&gt;=7,T41&lt;=14,LEN(E41)=0)</f>
        <v>0</v>
      </c>
      <c r="V41" s="112"/>
    </row>
    <row r="42" spans="1:67">
      <c r="A42" s="1" t="str">
        <f>IF(AND(C42&lt;&gt;"Call",C42&lt;&gt;"Put",C42&lt;&gt;"Call Digital",C42&lt;&gt;"Put Digital"),", barrier = " &amp; E42 &amp; ", rebate = " &amp; F42,"")</f>
        <v/>
      </c>
      <c r="B42" s="93" t="str">
        <f>IF(O42="no","n/a",C42&amp; " [" &amp; H42 &amp; "] " &amp; IF(AND(C42&lt;&gt;"Cash",C42&lt;&gt;"Asset"),",strike = " &amp; D42,"")&amp;A42&amp;IF(AND(C42&lt;&gt;"Cash",C42&lt;&gt;"Asset"),", expiry = " &amp; G42))</f>
        <v>Put [5] ,strike = 100, expiry = 0.5</v>
      </c>
      <c r="C42" s="102" t="s">
        <v>33</v>
      </c>
      <c r="D42" s="103">
        <v>100</v>
      </c>
      <c r="E42" s="103"/>
      <c r="F42" s="103"/>
      <c r="G42" s="103">
        <v>0.5</v>
      </c>
      <c r="H42" s="104">
        <v>5</v>
      </c>
      <c r="I42" s="105">
        <f t="shared" si="16"/>
        <v>42.235013311614082</v>
      </c>
      <c r="J42" s="105">
        <f t="shared" si="16"/>
        <v>-2.2888249334419299</v>
      </c>
      <c r="K42" s="105">
        <f t="shared" si="16"/>
        <v>9.3504154400709527E-2</v>
      </c>
      <c r="L42" s="105">
        <f t="shared" si="16"/>
        <v>-42.076869480319289</v>
      </c>
      <c r="M42" s="105">
        <f t="shared" si="16"/>
        <v>140.25623160106431</v>
      </c>
      <c r="N42" s="105">
        <f t="shared" si="16"/>
        <v>-135.55875332790353</v>
      </c>
      <c r="O42" s="106" t="str">
        <f>IF(P42,"yes","no")</f>
        <v>yes</v>
      </c>
      <c r="P42" s="113" t="b">
        <v>1</v>
      </c>
      <c r="Q42" s="117" t="s">
        <v>17</v>
      </c>
      <c r="R42" s="118"/>
      <c r="S42" s="119">
        <v>100</v>
      </c>
      <c r="T42" s="111">
        <f>VLOOKUP(C42,$V$19:$X$32,3,FALSE)</f>
        <v>2</v>
      </c>
      <c r="U42" s="86" t="b">
        <f>AND(T42&gt;=7,T42&lt;=14,LEN(E42)=0)</f>
        <v>0</v>
      </c>
      <c r="V42" s="112"/>
    </row>
    <row r="43" spans="1:67" ht="3" customHeight="1">
      <c r="A43" s="1"/>
      <c r="B43" s="93"/>
      <c r="C43" s="120"/>
      <c r="D43" s="121"/>
      <c r="E43" s="121"/>
      <c r="F43" s="121"/>
      <c r="G43" s="121"/>
      <c r="H43" s="121"/>
      <c r="I43" s="122"/>
      <c r="J43" s="122"/>
      <c r="K43" s="122"/>
      <c r="L43" s="122"/>
      <c r="M43" s="122"/>
      <c r="N43" s="122"/>
      <c r="O43" s="123"/>
      <c r="P43" s="124"/>
      <c r="Q43" s="55"/>
      <c r="R43" s="55"/>
      <c r="S43" s="55"/>
      <c r="T43" s="94"/>
      <c r="U43" s="86" t="b">
        <f>AND(T43&gt;=7,T43&lt;=14,LEN(E43)=0)</f>
        <v>0</v>
      </c>
    </row>
    <row r="44" spans="1:67">
      <c r="A44" s="1"/>
      <c r="B44" s="93" t="str">
        <f>IF(O44="yes","Total","n/a")</f>
        <v>Total</v>
      </c>
      <c r="C44" s="125"/>
      <c r="D44" s="125"/>
      <c r="E44" s="126"/>
      <c r="F44" s="126"/>
      <c r="G44" s="126"/>
      <c r="H44" s="55"/>
      <c r="I44" s="127">
        <f t="shared" ref="I44:N44" si="17">SUM(I39:I42)</f>
        <v>69.421930155319174</v>
      </c>
      <c r="J44" s="128">
        <f t="shared" si="17"/>
        <v>-1.1300860693328063</v>
      </c>
      <c r="K44" s="128">
        <f t="shared" si="17"/>
        <v>8.252679322285543E-2</v>
      </c>
      <c r="L44" s="128">
        <f t="shared" si="17"/>
        <v>-37.887956574633769</v>
      </c>
      <c r="M44" s="128">
        <f t="shared" si="17"/>
        <v>145.42152635221851</v>
      </c>
      <c r="N44" s="128">
        <f t="shared" si="17"/>
        <v>-66.363011966133769</v>
      </c>
      <c r="O44" s="129" t="str">
        <f>IF(P44,"yes","no")</f>
        <v>yes</v>
      </c>
      <c r="P44" s="107" t="b">
        <v>1</v>
      </c>
      <c r="Q44" s="130" t="s">
        <v>97</v>
      </c>
      <c r="R44" s="55"/>
      <c r="S44" s="131"/>
      <c r="T44" s="94"/>
    </row>
    <row r="45" spans="1:67" ht="3" customHeight="1">
      <c r="A45" s="1"/>
      <c r="B45" s="93"/>
      <c r="C45" s="55"/>
      <c r="D45" s="132"/>
      <c r="E45" s="132"/>
      <c r="F45" s="55"/>
      <c r="G45" s="133"/>
      <c r="H45" s="131"/>
      <c r="I45" s="131"/>
      <c r="J45" s="131"/>
      <c r="K45" s="131"/>
      <c r="L45" s="131"/>
      <c r="M45" s="124"/>
      <c r="N45" s="134">
        <v>1</v>
      </c>
      <c r="O45" s="55"/>
      <c r="P45" s="55"/>
      <c r="Q45" s="55"/>
      <c r="R45" s="55"/>
      <c r="S45" s="55"/>
      <c r="T45" s="94"/>
    </row>
    <row r="46" spans="1:67">
      <c r="A46" s="1"/>
      <c r="B46" s="93"/>
      <c r="C46" s="134" t="s">
        <v>98</v>
      </c>
      <c r="D46" s="132"/>
      <c r="E46" s="132"/>
      <c r="F46" s="55"/>
      <c r="G46" s="133"/>
      <c r="H46" s="131"/>
      <c r="I46" s="131"/>
      <c r="J46" s="131"/>
      <c r="K46" s="131"/>
      <c r="L46" s="131"/>
      <c r="M46" s="124">
        <v>1</v>
      </c>
      <c r="N46" s="55"/>
      <c r="O46" s="55"/>
      <c r="P46" s="55"/>
      <c r="Q46" s="55"/>
      <c r="R46" s="55"/>
      <c r="S46" s="55"/>
      <c r="T46" s="94"/>
    </row>
    <row r="47" spans="1:67">
      <c r="A47" s="1"/>
      <c r="B47" s="93"/>
      <c r="C47" s="55"/>
      <c r="D47" s="55"/>
      <c r="E47" s="55"/>
      <c r="F47" s="55"/>
      <c r="G47" s="55"/>
      <c r="H47" s="55"/>
      <c r="I47" s="55"/>
      <c r="J47" s="55"/>
      <c r="K47" s="55"/>
      <c r="L47" s="55"/>
      <c r="M47" s="55"/>
      <c r="N47" s="55"/>
      <c r="O47" s="55"/>
      <c r="P47" s="55"/>
      <c r="Q47" s="134">
        <v>1</v>
      </c>
      <c r="R47" s="135"/>
      <c r="S47" s="132"/>
      <c r="T47" s="94"/>
    </row>
    <row r="48" spans="1:67">
      <c r="A48" s="1"/>
      <c r="B48" s="93"/>
      <c r="C48" s="55"/>
      <c r="D48" s="55"/>
      <c r="E48" s="55"/>
      <c r="F48" s="55"/>
      <c r="G48" s="55"/>
      <c r="H48" s="55"/>
      <c r="I48" s="55"/>
      <c r="J48" s="55"/>
      <c r="K48" s="55"/>
      <c r="L48" s="55"/>
      <c r="M48" s="55"/>
      <c r="N48" s="55"/>
      <c r="O48" s="55"/>
      <c r="P48" s="55"/>
      <c r="Q48" s="55"/>
      <c r="R48" s="135"/>
      <c r="S48" s="55"/>
      <c r="T48" s="94"/>
    </row>
    <row r="49" spans="1:20">
      <c r="A49" s="1"/>
      <c r="B49" s="93"/>
      <c r="C49" s="55"/>
      <c r="D49" s="55"/>
      <c r="E49" s="55"/>
      <c r="F49" s="55"/>
      <c r="G49" s="55"/>
      <c r="H49" s="55"/>
      <c r="I49" s="55"/>
      <c r="J49" s="55"/>
      <c r="K49" s="55"/>
      <c r="L49" s="55"/>
      <c r="M49" s="55"/>
      <c r="N49" s="55"/>
      <c r="O49" s="55"/>
      <c r="P49" s="136"/>
      <c r="Q49" s="55"/>
      <c r="R49" s="135"/>
      <c r="S49" s="137"/>
      <c r="T49" s="94"/>
    </row>
    <row r="50" spans="1:20">
      <c r="A50" s="1"/>
      <c r="B50" s="93"/>
      <c r="C50" s="55"/>
      <c r="D50" s="55"/>
      <c r="E50" s="55"/>
      <c r="F50" s="55"/>
      <c r="G50" s="55"/>
      <c r="H50" s="55"/>
      <c r="I50" s="55">
        <v>1</v>
      </c>
      <c r="J50" s="55">
        <v>2</v>
      </c>
      <c r="K50" s="55">
        <v>3</v>
      </c>
      <c r="L50" s="55">
        <v>4</v>
      </c>
      <c r="M50" s="55"/>
      <c r="N50" s="55"/>
      <c r="O50" s="55"/>
      <c r="P50" s="137"/>
      <c r="Q50" s="55"/>
      <c r="R50" s="135"/>
      <c r="S50" s="55"/>
      <c r="T50" s="94"/>
    </row>
    <row r="51" spans="1:20">
      <c r="A51" s="1"/>
      <c r="B51" s="93"/>
      <c r="C51" s="55"/>
      <c r="D51" s="55"/>
      <c r="E51" s="55"/>
      <c r="F51" s="55"/>
      <c r="G51" s="55"/>
      <c r="H51" s="55">
        <f>B82</f>
        <v>100</v>
      </c>
      <c r="I51" s="55"/>
      <c r="J51" s="55"/>
      <c r="K51" s="55"/>
      <c r="L51" s="55"/>
      <c r="M51" s="55"/>
      <c r="N51" s="55"/>
      <c r="O51" s="55"/>
      <c r="P51" s="135"/>
      <c r="Q51" s="55"/>
      <c r="R51" s="135"/>
      <c r="S51" s="132"/>
      <c r="T51" s="94"/>
    </row>
    <row r="52" spans="1:20">
      <c r="A52" s="1"/>
      <c r="B52" s="93"/>
      <c r="C52" s="55"/>
      <c r="D52" s="55"/>
      <c r="E52" s="55"/>
      <c r="F52" s="55"/>
      <c r="G52" s="55"/>
      <c r="H52" s="55"/>
      <c r="I52" s="55"/>
      <c r="J52" s="55"/>
      <c r="K52" s="55"/>
      <c r="L52" s="55"/>
      <c r="M52" s="55"/>
      <c r="N52" s="55"/>
      <c r="O52" s="55"/>
      <c r="P52" s="55"/>
      <c r="Q52" s="55"/>
      <c r="R52" s="135"/>
      <c r="S52" s="138"/>
      <c r="T52" s="94"/>
    </row>
    <row r="53" spans="1:20">
      <c r="A53" s="1"/>
      <c r="B53" s="93"/>
      <c r="C53" s="55"/>
      <c r="D53" s="55"/>
      <c r="E53" s="55"/>
      <c r="F53" s="55"/>
      <c r="G53" s="55"/>
      <c r="H53" s="55"/>
      <c r="I53" s="55"/>
      <c r="J53" s="55"/>
      <c r="K53" s="55"/>
      <c r="L53" s="55"/>
      <c r="M53" s="55"/>
      <c r="N53" s="55"/>
      <c r="O53" s="55"/>
      <c r="P53" s="55"/>
      <c r="Q53" s="55"/>
      <c r="R53" s="135"/>
      <c r="S53" s="132"/>
      <c r="T53" s="94"/>
    </row>
    <row r="54" spans="1:20">
      <c r="A54" s="1"/>
      <c r="B54" s="93"/>
      <c r="C54" s="55"/>
      <c r="D54" s="55"/>
      <c r="E54" s="55"/>
      <c r="F54" s="55"/>
      <c r="G54" s="55"/>
      <c r="H54" s="55"/>
      <c r="I54" s="55"/>
      <c r="J54" s="55"/>
      <c r="K54" s="55"/>
      <c r="L54" s="55"/>
      <c r="M54" s="55"/>
      <c r="N54" s="55"/>
      <c r="O54" s="55"/>
      <c r="P54" s="55"/>
      <c r="Q54" s="55"/>
      <c r="R54" s="135"/>
      <c r="S54" s="55"/>
      <c r="T54" s="94"/>
    </row>
    <row r="55" spans="1:20">
      <c r="A55" s="1"/>
      <c r="B55" s="93"/>
      <c r="C55" s="55"/>
      <c r="D55" s="55"/>
      <c r="E55" s="55"/>
      <c r="F55" s="55"/>
      <c r="G55" s="55"/>
      <c r="H55" s="55"/>
      <c r="I55" s="55"/>
      <c r="J55" s="55"/>
      <c r="K55" s="55"/>
      <c r="L55" s="55"/>
      <c r="M55" s="55"/>
      <c r="N55" s="55"/>
      <c r="O55" s="55"/>
      <c r="P55" s="55"/>
      <c r="Q55" s="55"/>
      <c r="R55" s="135"/>
      <c r="S55" s="55"/>
      <c r="T55" s="94"/>
    </row>
    <row r="56" spans="1:20">
      <c r="A56" s="1"/>
      <c r="B56" s="93"/>
      <c r="C56" s="55"/>
      <c r="D56" s="55"/>
      <c r="E56" s="55"/>
      <c r="F56" s="55"/>
      <c r="G56" s="55"/>
      <c r="H56" s="55"/>
      <c r="I56" s="55"/>
      <c r="J56" s="55"/>
      <c r="K56" s="55"/>
      <c r="L56" s="55"/>
      <c r="M56" s="55"/>
      <c r="N56" s="55"/>
      <c r="O56" s="55"/>
      <c r="P56" s="55"/>
      <c r="Q56" s="55"/>
      <c r="R56" s="135"/>
      <c r="S56" s="55"/>
      <c r="T56" s="94"/>
    </row>
    <row r="57" spans="1:20">
      <c r="A57" s="1"/>
      <c r="B57" s="93"/>
      <c r="C57" s="55"/>
      <c r="D57" s="55"/>
      <c r="E57" s="55"/>
      <c r="F57" s="55"/>
      <c r="G57" s="55"/>
      <c r="H57" s="55"/>
      <c r="I57" s="55"/>
      <c r="J57" s="55"/>
      <c r="K57" s="55"/>
      <c r="L57" s="55"/>
      <c r="M57" s="55"/>
      <c r="N57" s="55"/>
      <c r="O57" s="55"/>
      <c r="P57" s="55"/>
      <c r="Q57" s="55"/>
      <c r="R57" s="135"/>
      <c r="S57" s="55"/>
      <c r="T57" s="94"/>
    </row>
    <row r="58" spans="1:20">
      <c r="A58" s="1"/>
      <c r="B58" s="93"/>
      <c r="C58" s="55"/>
      <c r="D58" s="55"/>
      <c r="E58" s="55"/>
      <c r="F58" s="55"/>
      <c r="G58" s="55"/>
      <c r="H58" s="55"/>
      <c r="I58" s="55"/>
      <c r="J58" s="55"/>
      <c r="K58" s="55"/>
      <c r="L58" s="55"/>
      <c r="M58" s="55"/>
      <c r="N58" s="55"/>
      <c r="O58" s="55"/>
      <c r="P58" s="55"/>
      <c r="Q58" s="55"/>
      <c r="R58" s="135"/>
      <c r="S58" s="55"/>
      <c r="T58" s="94"/>
    </row>
    <row r="59" spans="1:20">
      <c r="A59" s="1"/>
      <c r="B59" s="93"/>
      <c r="C59" s="55"/>
      <c r="D59" s="55"/>
      <c r="E59" s="55"/>
      <c r="F59" s="55"/>
      <c r="G59" s="55"/>
      <c r="H59" s="55"/>
      <c r="I59" s="55"/>
      <c r="J59" s="55"/>
      <c r="K59" s="55"/>
      <c r="L59" s="55"/>
      <c r="M59" s="55"/>
      <c r="N59" s="55"/>
      <c r="O59" s="55"/>
      <c r="P59" s="55"/>
      <c r="Q59" s="55"/>
      <c r="R59" s="135"/>
      <c r="S59" s="55"/>
      <c r="T59" s="94"/>
    </row>
    <row r="60" spans="1:20">
      <c r="A60" s="1"/>
      <c r="B60" s="93"/>
      <c r="C60" s="55"/>
      <c r="D60" s="55"/>
      <c r="E60" s="55"/>
      <c r="F60" s="55"/>
      <c r="G60" s="55"/>
      <c r="H60" s="55"/>
      <c r="I60" s="55"/>
      <c r="J60" s="55"/>
      <c r="K60" s="55"/>
      <c r="L60" s="55"/>
      <c r="M60" s="55"/>
      <c r="N60" s="55"/>
      <c r="O60" s="55"/>
      <c r="P60" s="55"/>
      <c r="Q60" s="55"/>
      <c r="R60" s="135"/>
      <c r="S60" s="55"/>
      <c r="T60" s="94"/>
    </row>
    <row r="61" spans="1:20">
      <c r="A61" s="1"/>
      <c r="B61" s="93"/>
      <c r="C61" s="55"/>
      <c r="D61" s="55"/>
      <c r="E61" s="55"/>
      <c r="F61" s="55"/>
      <c r="G61" s="55"/>
      <c r="H61" s="55"/>
      <c r="I61" s="55"/>
      <c r="J61" s="55"/>
      <c r="K61" s="55"/>
      <c r="L61" s="55"/>
      <c r="M61" s="55"/>
      <c r="N61" s="55"/>
      <c r="O61" s="55"/>
      <c r="P61" s="55"/>
      <c r="Q61" s="55"/>
      <c r="R61" s="135"/>
      <c r="S61" s="55"/>
      <c r="T61" s="94"/>
    </row>
    <row r="62" spans="1:20">
      <c r="A62" s="1"/>
      <c r="B62" s="93"/>
      <c r="C62" s="55"/>
      <c r="D62" s="55"/>
      <c r="E62" s="55"/>
      <c r="F62" s="55"/>
      <c r="G62" s="55"/>
      <c r="H62" s="55"/>
      <c r="I62" s="55"/>
      <c r="J62" s="55"/>
      <c r="K62" s="55"/>
      <c r="L62" s="55"/>
      <c r="M62" s="55"/>
      <c r="N62" s="55"/>
      <c r="O62" s="55"/>
      <c r="P62" s="55"/>
      <c r="Q62" s="55"/>
      <c r="R62" s="135"/>
      <c r="S62" s="55"/>
      <c r="T62" s="94"/>
    </row>
    <row r="63" spans="1:20">
      <c r="A63" s="1"/>
      <c r="B63" s="93"/>
      <c r="C63" s="55"/>
      <c r="D63" s="55"/>
      <c r="E63" s="55"/>
      <c r="F63" s="55"/>
      <c r="G63" s="55"/>
      <c r="H63" s="55"/>
      <c r="I63" s="55"/>
      <c r="J63" s="55"/>
      <c r="K63" s="55"/>
      <c r="L63" s="55"/>
      <c r="M63" s="55"/>
      <c r="N63" s="55"/>
      <c r="O63" s="55"/>
      <c r="P63" s="55"/>
      <c r="Q63" s="55"/>
      <c r="R63" s="135"/>
      <c r="S63" s="55"/>
      <c r="T63" s="94"/>
    </row>
    <row r="64" spans="1:20">
      <c r="A64" s="1"/>
      <c r="B64" s="93"/>
      <c r="C64" s="55"/>
      <c r="D64" s="55"/>
      <c r="E64" s="55"/>
      <c r="F64" s="55"/>
      <c r="G64" s="55"/>
      <c r="H64" s="55"/>
      <c r="I64" s="55"/>
      <c r="J64" s="55"/>
      <c r="K64" s="55"/>
      <c r="L64" s="55"/>
      <c r="M64" s="55"/>
      <c r="N64" s="55"/>
      <c r="O64" s="55"/>
      <c r="P64" s="55"/>
      <c r="Q64" s="55"/>
      <c r="R64" s="55"/>
      <c r="S64" s="55"/>
      <c r="T64" s="94"/>
    </row>
    <row r="65" spans="1:20">
      <c r="A65" s="1"/>
      <c r="B65" s="93"/>
      <c r="C65" s="55"/>
      <c r="D65" s="55"/>
      <c r="E65" s="55"/>
      <c r="F65" s="55"/>
      <c r="G65" s="55"/>
      <c r="H65" s="55"/>
      <c r="I65" s="55"/>
      <c r="J65" s="55"/>
      <c r="K65" s="55"/>
      <c r="L65" s="55"/>
      <c r="M65" s="55"/>
      <c r="N65" s="55"/>
      <c r="O65" s="55"/>
      <c r="P65" s="55"/>
      <c r="Q65" s="55"/>
      <c r="R65" s="55"/>
      <c r="S65" s="55"/>
      <c r="T65" s="94"/>
    </row>
    <row r="66" spans="1:20" ht="13" thickBot="1">
      <c r="A66" s="1"/>
      <c r="B66" s="139"/>
      <c r="C66" s="140"/>
      <c r="D66" s="140"/>
      <c r="E66" s="140"/>
      <c r="F66" s="140"/>
      <c r="G66" s="140"/>
      <c r="H66" s="140"/>
      <c r="I66" s="140"/>
      <c r="J66" s="140"/>
      <c r="K66" s="140"/>
      <c r="L66" s="140"/>
      <c r="M66" s="140"/>
      <c r="N66" s="140"/>
      <c r="O66" s="140"/>
      <c r="P66" s="140"/>
      <c r="Q66" s="140"/>
      <c r="R66" s="140"/>
      <c r="S66" s="140"/>
      <c r="T66" s="141"/>
    </row>
    <row r="67" spans="1:20" ht="5.25" customHeight="1">
      <c r="A67" s="1"/>
      <c r="B67" s="1"/>
      <c r="C67" s="2"/>
    </row>
    <row r="68" spans="1:20" ht="12.75" hidden="1" customHeight="1">
      <c r="A68" s="1"/>
      <c r="B68" s="1"/>
      <c r="C68" s="2"/>
      <c r="E68" s="217"/>
      <c r="F68" s="217"/>
      <c r="G68" s="217"/>
      <c r="H68" s="217"/>
      <c r="I68" s="217"/>
      <c r="J68" s="217"/>
      <c r="K68" s="217"/>
      <c r="L68" s="217"/>
      <c r="M68" s="217"/>
      <c r="N68" s="217"/>
      <c r="O68" s="217"/>
    </row>
    <row r="69" spans="1:20" hidden="1">
      <c r="A69" s="1"/>
      <c r="B69" s="1"/>
      <c r="C69" s="2"/>
      <c r="E69" s="217"/>
      <c r="F69" s="217"/>
      <c r="G69" s="217"/>
      <c r="H69" s="217"/>
      <c r="I69" s="217"/>
      <c r="J69" s="217"/>
      <c r="K69" s="217"/>
      <c r="L69" s="217"/>
      <c r="M69" s="217"/>
      <c r="N69" s="217"/>
      <c r="O69" s="217"/>
    </row>
    <row r="70" spans="1:20" hidden="1">
      <c r="A70" s="1"/>
      <c r="B70" s="1"/>
      <c r="C70" s="2"/>
      <c r="E70" s="217"/>
      <c r="F70" s="217"/>
      <c r="G70" s="217"/>
      <c r="H70" s="217"/>
      <c r="I70" s="217"/>
      <c r="J70" s="217"/>
      <c r="K70" s="217"/>
      <c r="L70" s="217"/>
      <c r="M70" s="217"/>
      <c r="N70" s="217"/>
      <c r="O70" s="217"/>
    </row>
    <row r="71" spans="1:20">
      <c r="A71" s="1"/>
      <c r="B71" s="1"/>
      <c r="C71" s="2"/>
      <c r="E71" s="170"/>
      <c r="F71" s="170"/>
      <c r="G71" s="170"/>
      <c r="H71" s="170"/>
      <c r="I71" s="170"/>
      <c r="J71" s="170"/>
      <c r="K71" s="170"/>
      <c r="L71" s="170"/>
      <c r="M71" s="170"/>
      <c r="N71" s="170"/>
      <c r="O71" s="170"/>
    </row>
    <row r="72" spans="1:20">
      <c r="A72" s="1"/>
      <c r="B72" s="1"/>
      <c r="C72" s="2"/>
      <c r="E72" s="170"/>
      <c r="F72" s="170"/>
      <c r="G72" s="216" t="s">
        <v>0</v>
      </c>
      <c r="H72" s="216"/>
      <c r="I72" s="216"/>
      <c r="J72" s="216"/>
      <c r="K72" s="216"/>
      <c r="L72" s="216"/>
      <c r="M72" s="170"/>
      <c r="N72" s="170"/>
      <c r="O72" s="170"/>
    </row>
    <row r="73" spans="1:20">
      <c r="A73" s="1"/>
      <c r="B73" s="1"/>
      <c r="C73" s="2"/>
    </row>
    <row r="74" spans="1:20" hidden="1">
      <c r="A74" s="1"/>
      <c r="B74" s="1"/>
      <c r="C74" s="142" t="s">
        <v>99</v>
      </c>
      <c r="D74" s="142" t="s">
        <v>100</v>
      </c>
      <c r="E74" s="142" t="s">
        <v>101</v>
      </c>
      <c r="F74" s="143"/>
    </row>
    <row r="75" spans="1:20" hidden="1">
      <c r="A75" s="1"/>
      <c r="B75" s="144"/>
      <c r="C75" s="145">
        <v>1</v>
      </c>
      <c r="D75" s="146">
        <v>1</v>
      </c>
      <c r="E75" s="147">
        <v>6</v>
      </c>
      <c r="F75" s="148"/>
      <c r="G75" s="45"/>
      <c r="H75" s="87">
        <v>32</v>
      </c>
      <c r="I75" s="2" t="s">
        <v>102</v>
      </c>
      <c r="J75" s="45"/>
      <c r="K75" s="45"/>
    </row>
    <row r="76" spans="1:20" hidden="1">
      <c r="A76" s="1"/>
      <c r="B76" s="144"/>
      <c r="C76" s="45"/>
      <c r="D76" s="45"/>
      <c r="E76" s="45"/>
      <c r="F76" s="45"/>
      <c r="G76" s="149"/>
      <c r="H76" s="45"/>
      <c r="I76" s="150"/>
      <c r="J76" s="124"/>
      <c r="K76" s="45"/>
    </row>
    <row r="77" spans="1:20" hidden="1">
      <c r="A77" s="1"/>
      <c r="B77" s="144"/>
      <c r="C77" s="45"/>
      <c r="D77" s="45"/>
      <c r="E77" s="45"/>
      <c r="F77" s="45"/>
      <c r="G77" s="149"/>
      <c r="H77" s="45"/>
      <c r="I77" s="150"/>
      <c r="J77" s="124"/>
      <c r="K77" s="45"/>
    </row>
    <row r="78" spans="1:20" hidden="1">
      <c r="A78" s="1"/>
      <c r="B78" s="144"/>
      <c r="C78" s="45"/>
      <c r="D78" s="45"/>
      <c r="E78" s="45"/>
      <c r="F78" s="45"/>
      <c r="G78" s="149"/>
      <c r="H78" s="45"/>
      <c r="I78" s="150"/>
      <c r="J78" s="124"/>
      <c r="K78" s="45"/>
      <c r="R78" s="2" t="str">
        <f>CHOOSE(vary,T30,T31,T32 &amp; " [yrs]")</f>
        <v>Spot</v>
      </c>
    </row>
    <row r="79" spans="1:20" hidden="1">
      <c r="A79" s="1"/>
      <c r="B79" s="144"/>
      <c r="C79" s="45"/>
      <c r="D79" s="45"/>
      <c r="E79" s="45"/>
      <c r="F79" s="45"/>
      <c r="G79" s="149"/>
      <c r="H79" s="45"/>
      <c r="I79" s="45"/>
      <c r="J79" s="124"/>
      <c r="K79" s="45"/>
    </row>
    <row r="80" spans="1:20" hidden="1">
      <c r="A80" s="1"/>
      <c r="B80" s="144"/>
      <c r="C80" s="45"/>
      <c r="D80" s="45"/>
      <c r="E80" s="45"/>
      <c r="F80" s="45"/>
      <c r="G80" s="45"/>
      <c r="H80" s="45"/>
      <c r="I80" s="45"/>
      <c r="J80" s="124"/>
      <c r="K80" s="45"/>
    </row>
    <row r="81" spans="1:10" hidden="1">
      <c r="A81" s="1"/>
      <c r="B81" s="1"/>
      <c r="C81" s="2"/>
      <c r="J81" s="151" t="b">
        <v>0</v>
      </c>
    </row>
    <row r="82" spans="1:10" hidden="1">
      <c r="A82" s="1" t="s">
        <v>17</v>
      </c>
      <c r="B82" s="1">
        <f>S42</f>
        <v>100</v>
      </c>
      <c r="C82" s="2"/>
    </row>
    <row r="83" spans="1:10" hidden="1">
      <c r="A83" s="1"/>
      <c r="B83" s="1"/>
      <c r="C83" s="2"/>
      <c r="G83" s="2" t="b">
        <f t="array" ref="G83:J83">TRANSPOSE(P39:P42)</f>
        <v>1</v>
      </c>
      <c r="H83" s="2" t="b">
        <v>0</v>
      </c>
      <c r="I83" s="2" t="b">
        <v>0</v>
      </c>
      <c r="J83" s="2" t="b">
        <v>1</v>
      </c>
    </row>
    <row r="84" spans="1:10" hidden="1">
      <c r="A84" s="1"/>
      <c r="B84" s="1"/>
      <c r="C84" s="2"/>
      <c r="F84" s="83">
        <f>W17</f>
        <v>9.773187944444224E-15</v>
      </c>
      <c r="G84" s="9">
        <v>1</v>
      </c>
      <c r="H84" s="9">
        <v>2</v>
      </c>
      <c r="I84" s="9">
        <v>3</v>
      </c>
      <c r="J84" s="9">
        <v>4</v>
      </c>
    </row>
    <row r="85" spans="1:10" hidden="1">
      <c r="A85" s="1"/>
      <c r="B85" s="1"/>
      <c r="C85" s="2"/>
      <c r="F85" s="9">
        <f t="shared" ref="F85:F106" si="18">F86-inc</f>
        <v>39.999999999999922</v>
      </c>
      <c r="G85" s="9">
        <f t="dataTable" ref="G85:J129" dt2D="1" dtr="0" r1="A4" r2="C1"/>
        <v>5.9193968888194559E-3</v>
      </c>
      <c r="H85" s="9">
        <v>7.176532719063815E-22</v>
      </c>
      <c r="I85" s="9">
        <v>6.6038163446877337E-5</v>
      </c>
      <c r="J85" s="9">
        <v>300.00011042793199</v>
      </c>
    </row>
    <row r="86" spans="1:10" hidden="1">
      <c r="A86" s="1"/>
      <c r="B86" s="1"/>
      <c r="C86" s="2"/>
      <c r="F86" s="9">
        <f t="shared" si="18"/>
        <v>42.727272727272648</v>
      </c>
      <c r="G86" s="9">
        <v>1.316090023878505E-2</v>
      </c>
      <c r="H86" s="9">
        <v>4.8404397280467307E-19</v>
      </c>
      <c r="I86" s="9">
        <v>2.8334185847346966E-4</v>
      </c>
      <c r="J86" s="9">
        <v>286.3641109689035</v>
      </c>
    </row>
    <row r="87" spans="1:10" hidden="1">
      <c r="A87" s="1"/>
      <c r="B87" s="1"/>
      <c r="C87" s="2"/>
      <c r="F87" s="9">
        <f t="shared" si="18"/>
        <v>45.454545454545375</v>
      </c>
      <c r="G87" s="9">
        <v>2.6802243589888253E-2</v>
      </c>
      <c r="H87" s="9">
        <v>1.4130086113059155E-16</v>
      </c>
      <c r="I87" s="9">
        <v>1.024095704800725E-3</v>
      </c>
      <c r="J87" s="9">
        <v>272.7289921462035</v>
      </c>
    </row>
    <row r="88" spans="1:10" hidden="1">
      <c r="A88" s="1"/>
      <c r="B88" s="1"/>
      <c r="C88" s="2">
        <v>1</v>
      </c>
      <c r="F88" s="9">
        <f t="shared" si="18"/>
        <v>48.181818181818102</v>
      </c>
      <c r="G88" s="9">
        <v>5.0641546769823742E-2</v>
      </c>
      <c r="H88" s="9">
        <v>2.0187537086044879E-14</v>
      </c>
      <c r="I88" s="9">
        <v>3.197035556205507E-3</v>
      </c>
      <c r="J88" s="9">
        <v>259.09629379996636</v>
      </c>
    </row>
    <row r="89" spans="1:10" hidden="1">
      <c r="A89" s="1" t="s">
        <v>8</v>
      </c>
      <c r="B89" s="1"/>
      <c r="C89" s="2">
        <v>4</v>
      </c>
      <c r="F89" s="9">
        <f t="shared" si="18"/>
        <v>50.909090909090828</v>
      </c>
      <c r="G89" s="9">
        <v>8.9707879785910882E-2</v>
      </c>
      <c r="H89" s="9">
        <v>1.5600139452924053E-12</v>
      </c>
      <c r="I89" s="9">
        <v>8.797367877444489E-3</v>
      </c>
      <c r="J89" s="9">
        <v>245.46942459942102</v>
      </c>
    </row>
    <row r="90" spans="1:10" hidden="1">
      <c r="A90" s="1" t="s">
        <v>9</v>
      </c>
      <c r="B90" s="1"/>
      <c r="C90" s="2"/>
      <c r="F90" s="9">
        <f t="shared" si="18"/>
        <v>53.636363636363555</v>
      </c>
      <c r="G90" s="9">
        <v>0.15027197802017245</v>
      </c>
      <c r="H90" s="9">
        <v>7.0796157279721944E-11</v>
      </c>
      <c r="I90" s="9">
        <v>2.1696815152179361E-2</v>
      </c>
      <c r="J90" s="9">
        <v>231.85507621806775</v>
      </c>
    </row>
    <row r="91" spans="1:10" hidden="1">
      <c r="A91" s="1" t="s">
        <v>11</v>
      </c>
      <c r="B91" s="1"/>
      <c r="C91" s="2"/>
      <c r="F91" s="9">
        <f t="shared" si="18"/>
        <v>56.363636363636282</v>
      </c>
      <c r="G91" s="9">
        <v>0.23974846075125011</v>
      </c>
      <c r="H91" s="9">
        <v>2.0203408235049194E-9</v>
      </c>
      <c r="I91" s="9">
        <v>4.8626656599356895E-2</v>
      </c>
      <c r="J91" s="9">
        <v>218.26507269077769</v>
      </c>
    </row>
    <row r="92" spans="1:10" hidden="1">
      <c r="A92" s="1" t="s">
        <v>10</v>
      </c>
      <c r="B92" s="1"/>
      <c r="C92" s="2"/>
      <c r="F92" s="9">
        <f t="shared" si="18"/>
        <v>59.090909090909008</v>
      </c>
      <c r="G92" s="9">
        <v>0.36649701453403738</v>
      </c>
      <c r="H92" s="9">
        <v>3.8396184603560514E-8</v>
      </c>
      <c r="I92" s="9">
        <v>0.10018375018156923</v>
      </c>
      <c r="J92" s="9">
        <v>204.71845139692437</v>
      </c>
    </row>
    <row r="93" spans="1:10" hidden="1">
      <c r="A93" s="1" t="s">
        <v>12</v>
      </c>
      <c r="B93" s="1"/>
      <c r="C93" s="2"/>
      <c r="F93" s="9">
        <f t="shared" si="18"/>
        <v>61.818181818181735</v>
      </c>
      <c r="G93" s="9">
        <v>0.53954302706067159</v>
      </c>
      <c r="H93" s="9">
        <v>5.1013070765871751E-7</v>
      </c>
      <c r="I93" s="9">
        <v>0.19159291796696887</v>
      </c>
      <c r="J93" s="9">
        <v>191.24342677282229</v>
      </c>
    </row>
    <row r="94" spans="1:10" hidden="1">
      <c r="A94" s="1" t="s">
        <v>13</v>
      </c>
      <c r="B94" s="1"/>
      <c r="C94" s="2"/>
      <c r="F94" s="9">
        <f t="shared" si="18"/>
        <v>64.545454545454461</v>
      </c>
      <c r="G94" s="9">
        <v>0.76824624006081343</v>
      </c>
      <c r="H94" s="9">
        <v>4.9383895327681299E-6</v>
      </c>
      <c r="I94" s="9">
        <v>0.34291819114962951</v>
      </c>
      <c r="J94" s="9">
        <v>177.8788136501984</v>
      </c>
    </row>
    <row r="95" spans="1:10" hidden="1">
      <c r="A95" s="1"/>
      <c r="B95" s="1"/>
      <c r="C95" s="2"/>
      <c r="F95" s="9">
        <f t="shared" si="18"/>
        <v>67.272727272727195</v>
      </c>
      <c r="G95" s="9">
        <v>1.0619487781474195</v>
      </c>
      <c r="H95" s="9">
        <v>3.6095340951124795E-5</v>
      </c>
      <c r="I95" s="9">
        <v>0.57845725325638209</v>
      </c>
      <c r="J95" s="9">
        <v>164.67451840355375</v>
      </c>
    </row>
    <row r="96" spans="1:10" hidden="1">
      <c r="A96" s="1"/>
      <c r="B96" s="1"/>
      <c r="C96" s="2"/>
      <c r="F96" s="9">
        <f t="shared" si="18"/>
        <v>69.999999999999929</v>
      </c>
      <c r="G96" s="9">
        <v>1.4296321410530286</v>
      </c>
      <c r="H96" s="9">
        <v>2.0542504439408806E-4</v>
      </c>
      <c r="I96" s="9">
        <v>0.92517810284232249</v>
      </c>
      <c r="J96" s="9">
        <v>151.69084046833731</v>
      </c>
    </row>
    <row r="97" spans="1:12" hidden="1">
      <c r="A97" s="1"/>
      <c r="B97" s="1"/>
      <c r="C97" s="2"/>
      <c r="F97" s="9">
        <f t="shared" si="18"/>
        <v>72.727272727272663</v>
      </c>
      <c r="G97" s="9">
        <v>1.8796077440078047</v>
      </c>
      <c r="H97" s="9">
        <v>9.3508549164074526E-4</v>
      </c>
      <c r="I97" s="9">
        <v>1.4102374121388257</v>
      </c>
      <c r="J97" s="9">
        <v>138.99652818484617</v>
      </c>
    </row>
    <row r="98" spans="1:12" hidden="1">
      <c r="A98" s="1"/>
      <c r="B98" s="1"/>
      <c r="C98" s="2"/>
      <c r="F98" s="9">
        <f t="shared" si="18"/>
        <v>75.454545454545396</v>
      </c>
      <c r="G98" s="9">
        <v>2.4192588228820444</v>
      </c>
      <c r="H98" s="9">
        <v>3.4856331085699852E-3</v>
      </c>
      <c r="I98" s="9">
        <v>2.0578120326849918</v>
      </c>
      <c r="J98" s="9">
        <v>126.66574755487716</v>
      </c>
    </row>
    <row r="99" spans="1:12" hidden="1">
      <c r="A99" s="1"/>
      <c r="B99" s="1"/>
      <c r="C99" s="2"/>
      <c r="F99" s="9">
        <f t="shared" si="18"/>
        <v>78.18181818181813</v>
      </c>
      <c r="G99" s="9">
        <v>3.0548442910390889</v>
      </c>
      <c r="H99" s="9">
        <v>1.0864216486564852E-2</v>
      </c>
      <c r="I99" s="9">
        <v>2.8856319710103575</v>
      </c>
      <c r="J99" s="9">
        <v>114.77429857892318</v>
      </c>
    </row>
    <row r="100" spans="1:12" hidden="1">
      <c r="A100" s="1"/>
      <c r="B100" s="1"/>
      <c r="C100" s="2"/>
      <c r="F100" s="9">
        <f t="shared" si="18"/>
        <v>80.909090909090864</v>
      </c>
      <c r="G100" s="9">
        <v>3.7913684236512744</v>
      </c>
      <c r="H100" s="9">
        <v>2.8845056728888253E-2</v>
      </c>
      <c r="I100" s="9">
        <v>3.9016894646472724</v>
      </c>
      <c r="J100" s="9">
        <v>103.39551658763192</v>
      </c>
    </row>
    <row r="101" spans="1:12" hidden="1">
      <c r="A101" s="1"/>
      <c r="B101" s="1"/>
      <c r="C101" s="2"/>
      <c r="F101" s="9">
        <f t="shared" si="18"/>
        <v>83.636363636363598</v>
      </c>
      <c r="G101" s="9">
        <v>4.6325146672909945</v>
      </c>
      <c r="H101" s="9">
        <v>6.6336558398352868E-2</v>
      </c>
      <c r="I101" s="9">
        <v>5.1015983287759923</v>
      </c>
      <c r="J101" s="9">
        <v>92.596313873871097</v>
      </c>
    </row>
    <row r="102" spans="1:12" hidden="1">
      <c r="A102" s="1"/>
      <c r="B102" s="1"/>
      <c r="C102" s="2"/>
      <c r="F102" s="9">
        <f t="shared" si="18"/>
        <v>86.363636363636331</v>
      </c>
      <c r="G102" s="9">
        <v>5.5806377131699954</v>
      </c>
      <c r="H102" s="9">
        <v>0.13415867772906975</v>
      </c>
      <c r="I102" s="9">
        <v>6.4669949897905816</v>
      </c>
      <c r="J102" s="9">
        <v>82.433759598961444</v>
      </c>
    </row>
    <row r="103" spans="1:12" hidden="1">
      <c r="A103" s="1"/>
      <c r="B103" s="1"/>
      <c r="C103" s="2"/>
      <c r="F103" s="9">
        <f t="shared" si="18"/>
        <v>89.090909090909065</v>
      </c>
      <c r="G103" s="9">
        <v>6.6368052615319009</v>
      </c>
      <c r="H103" s="9">
        <v>0.24192911234740727</v>
      </c>
      <c r="I103" s="9">
        <v>7.9652285997197154</v>
      </c>
      <c r="J103" s="9">
        <v>72.952486812570783</v>
      </c>
    </row>
    <row r="104" spans="1:12" hidden="1">
      <c r="A104" s="1"/>
      <c r="B104" s="1"/>
      <c r="C104" s="2"/>
      <c r="F104" s="9">
        <f t="shared" si="18"/>
        <v>91.818181818181799</v>
      </c>
      <c r="G104" s="9">
        <v>7.8008795015650136</v>
      </c>
      <c r="H104" s="9">
        <v>0.39402671700622827</v>
      </c>
      <c r="I104" s="9">
        <v>9.5504126666711411</v>
      </c>
      <c r="J104" s="9">
        <v>64.18308289319296</v>
      </c>
    </row>
    <row r="105" spans="1:12" hidden="1">
      <c r="A105" s="1"/>
      <c r="B105" s="1"/>
      <c r="C105" s="2"/>
      <c r="F105" s="9">
        <f t="shared" si="18"/>
        <v>94.545454545454533</v>
      </c>
      <c r="G105" s="9">
        <v>9.0716280005167249</v>
      </c>
      <c r="H105" s="9">
        <v>0.58657860897884651</v>
      </c>
      <c r="I105" s="9">
        <v>11.165736571365244</v>
      </c>
      <c r="J105" s="9">
        <v>56.141489762390151</v>
      </c>
    </row>
    <row r="106" spans="1:12" hidden="1">
      <c r="A106" s="1"/>
      <c r="B106" s="1"/>
      <c r="C106" s="2"/>
      <c r="F106" s="9">
        <f t="shared" si="18"/>
        <v>97.272727272727266</v>
      </c>
      <c r="G106" s="9">
        <v>10.446854167923902</v>
      </c>
      <c r="H106" s="9">
        <v>0.80720094998515757</v>
      </c>
      <c r="I106" s="9">
        <v>12.746789083298239</v>
      </c>
      <c r="J106" s="9">
        <v>48.82933184121903</v>
      </c>
    </row>
    <row r="107" spans="1:12" hidden="1">
      <c r="A107" s="1"/>
      <c r="B107" s="1"/>
      <c r="C107" s="2"/>
      <c r="F107" s="152">
        <f>CHOOSE(C75,S42,S39,IF(L107=inf,1,L107)/2)</f>
        <v>100</v>
      </c>
      <c r="G107" s="9">
        <v>11.923538474048499</v>
      </c>
      <c r="H107" s="9">
        <v>1.0378327999985926</v>
      </c>
      <c r="I107" s="9">
        <v>14.225545569658003</v>
      </c>
      <c r="J107" s="9">
        <v>42.235013311614082</v>
      </c>
      <c r="L107" s="2">
        <f>MAX(IF(P39,G39,inf),IF(P40,G40,inf),IF(P41,G41,inf),IF(P42,G42,inf))</f>
        <v>1</v>
      </c>
    </row>
    <row r="108" spans="1:12" hidden="1">
      <c r="A108" s="1"/>
      <c r="B108" s="1"/>
      <c r="C108" s="2"/>
      <c r="F108" s="9">
        <f t="shared" ref="F108:F129" si="19">F107+inc</f>
        <v>102.72727272727273</v>
      </c>
      <c r="G108" s="9">
        <v>13.49798292644482</v>
      </c>
      <c r="H108" s="9">
        <v>1.2594035712567466</v>
      </c>
      <c r="I108" s="9">
        <v>15.534623797153694</v>
      </c>
      <c r="J108" s="9">
        <v>36.33538434084663</v>
      </c>
    </row>
    <row r="109" spans="1:12" hidden="1">
      <c r="A109" s="1"/>
      <c r="B109" s="1"/>
      <c r="C109" s="2"/>
      <c r="F109" s="9">
        <f t="shared" si="19"/>
        <v>105.45454545454547</v>
      </c>
      <c r="G109" s="9">
        <v>15.16595276041523</v>
      </c>
      <c r="H109" s="9">
        <v>1.4563222035905743</v>
      </c>
      <c r="I109" s="9">
        <v>16.611418453977628</v>
      </c>
      <c r="J109" s="9">
        <v>31.097765157256063</v>
      </c>
    </row>
    <row r="110" spans="1:12" hidden="1">
      <c r="A110" s="1"/>
      <c r="B110" s="1"/>
      <c r="C110" s="2"/>
      <c r="F110" s="9">
        <f t="shared" si="19"/>
        <v>108.1818181818182</v>
      </c>
      <c r="G110" s="9">
        <v>16.922810740398063</v>
      </c>
      <c r="H110" s="9">
        <v>1.6191903780483259</v>
      </c>
      <c r="I110" s="9">
        <v>17.401773028946273</v>
      </c>
      <c r="J110" s="9">
        <v>26.48213038673731</v>
      </c>
    </row>
    <row r="111" spans="1:12" hidden="1">
      <c r="A111" s="1"/>
      <c r="B111" s="1"/>
      <c r="C111" s="2"/>
      <c r="F111" s="9">
        <f t="shared" si="19"/>
        <v>110.90909090909093</v>
      </c>
      <c r="G111" s="9">
        <v>18.763640806250145</v>
      </c>
      <c r="H111" s="9">
        <v>1.7452337559796383</v>
      </c>
      <c r="I111" s="9">
        <v>17.86292650385235</v>
      </c>
      <c r="J111" s="9">
        <v>22.443285741035393</v>
      </c>
    </row>
    <row r="112" spans="1:12" hidden="1">
      <c r="A112" s="1"/>
      <c r="B112" s="1"/>
      <c r="C112" s="2"/>
      <c r="F112" s="9">
        <f t="shared" si="19"/>
        <v>113.63636363636367</v>
      </c>
      <c r="G112" s="9">
        <v>20.683358974238857</v>
      </c>
      <c r="H112" s="9">
        <v>1.8369588931200382</v>
      </c>
      <c r="I112" s="9">
        <v>17.965567072631377</v>
      </c>
      <c r="J112" s="9">
        <v>18.932907208697234</v>
      </c>
    </row>
    <row r="113" spans="1:10" hidden="1">
      <c r="A113" s="1"/>
      <c r="B113" s="1"/>
      <c r="C113" s="2"/>
      <c r="F113" s="9">
        <f t="shared" si="19"/>
        <v>116.3636363636364</v>
      </c>
      <c r="G113" s="9">
        <v>22.676810389988184</v>
      </c>
      <c r="H113" s="9">
        <v>1.900011700972013</v>
      </c>
      <c r="I113" s="9">
        <v>17.694922354858321</v>
      </c>
      <c r="J113" s="9">
        <v>15.901352901137678</v>
      </c>
    </row>
    <row r="114" spans="1:10" hidden="1">
      <c r="A114" s="1"/>
      <c r="B114" s="1"/>
      <c r="C114" s="2"/>
      <c r="F114" s="9">
        <f t="shared" si="19"/>
        <v>119.09090909090914</v>
      </c>
      <c r="G114" s="9">
        <v>24.738852223933037</v>
      </c>
      <c r="H114" s="9">
        <v>1.9411232578699791</v>
      </c>
      <c r="I114" s="9">
        <v>17.050904390465163</v>
      </c>
      <c r="J114" s="9">
        <v>13.299194987956859</v>
      </c>
    </row>
    <row r="115" spans="1:10" hidden="1">
      <c r="A115" s="1"/>
      <c r="B115" s="1"/>
      <c r="C115" s="2"/>
      <c r="F115" s="9">
        <f t="shared" si="19"/>
        <v>121.81818181818187</v>
      </c>
      <c r="G115" s="9">
        <v>26.864422708165165</v>
      </c>
      <c r="H115" s="9">
        <v>1.9666451082823129</v>
      </c>
      <c r="I115" s="9">
        <v>16.047400476559755</v>
      </c>
      <c r="J115" s="9">
        <v>11.078450839844187</v>
      </c>
    </row>
    <row r="116" spans="1:10" hidden="1">
      <c r="A116" s="1"/>
      <c r="B116" s="1"/>
      <c r="C116" s="2"/>
      <c r="F116" s="9">
        <f t="shared" si="19"/>
        <v>124.5454545454546</v>
      </c>
      <c r="G116" s="9">
        <v>29.048597055215723</v>
      </c>
      <c r="H116" s="9">
        <v>1.9817827809243258</v>
      </c>
      <c r="I116" s="9">
        <v>14.710853483158115</v>
      </c>
      <c r="J116" s="9">
        <v>9.1935172419901612</v>
      </c>
    </row>
    <row r="117" spans="1:10" hidden="1">
      <c r="A117" s="1"/>
      <c r="B117" s="1"/>
      <c r="C117" s="2"/>
      <c r="F117" s="9">
        <f t="shared" si="19"/>
        <v>127.27272727272734</v>
      </c>
      <c r="G117" s="9">
        <v>31.286631297437282</v>
      </c>
      <c r="H117" s="9">
        <v>1.9903886097859054</v>
      </c>
      <c r="I117" s="9">
        <v>13.078306612062269</v>
      </c>
      <c r="J117" s="9">
        <v>7.6018291714180108</v>
      </c>
    </row>
    <row r="118" spans="1:10" hidden="1">
      <c r="A118" s="1"/>
      <c r="B118" s="1"/>
      <c r="C118" s="2"/>
      <c r="F118" s="9">
        <f t="shared" si="19"/>
        <v>130.00000000000006</v>
      </c>
      <c r="G118" s="9">
        <v>33.573995264932293</v>
      </c>
      <c r="H118" s="9">
        <v>1.9950917790093636</v>
      </c>
      <c r="I118" s="9">
        <v>11.195099039271483</v>
      </c>
      <c r="J118" s="9">
        <v>6.2642757553366746</v>
      </c>
    </row>
    <row r="119" spans="1:10" hidden="1">
      <c r="A119" s="1"/>
      <c r="B119" s="1"/>
      <c r="C119" s="2"/>
      <c r="F119" s="9">
        <f t="shared" si="19"/>
        <v>132.72727272727278</v>
      </c>
      <c r="G119" s="9">
        <v>35.906396004551212</v>
      </c>
      <c r="H119" s="9">
        <v>1.9975693758552762</v>
      </c>
      <c r="I119" s="9">
        <v>9.1123935753734973</v>
      </c>
      <c r="J119" s="9">
        <v>5.1454116917327042</v>
      </c>
    </row>
    <row r="120" spans="1:10" hidden="1">
      <c r="A120" s="1"/>
      <c r="B120" s="1"/>
      <c r="C120" s="2"/>
      <c r="F120" s="9">
        <f t="shared" si="19"/>
        <v>135.4545454545455</v>
      </c>
      <c r="G120" s="9">
        <v>38.279792954494951</v>
      </c>
      <c r="H120" s="9">
        <v>1.9988306227207071</v>
      </c>
      <c r="I120" s="9">
        <v>6.8846993719525944</v>
      </c>
      <c r="J120" s="9">
        <v>4.2135038368851507</v>
      </c>
    </row>
    <row r="121" spans="1:10" hidden="1">
      <c r="A121" s="1"/>
      <c r="B121" s="1"/>
      <c r="C121" s="2"/>
      <c r="F121" s="9">
        <f t="shared" si="19"/>
        <v>138.18181818181822</v>
      </c>
      <c r="G121" s="9">
        <v>40.690406147934837</v>
      </c>
      <c r="H121" s="9">
        <v>1.9994524990406977</v>
      </c>
      <c r="I121" s="9">
        <v>4.5675260373965383</v>
      </c>
      <c r="J121" s="9">
        <v>3.4404510497017204</v>
      </c>
    </row>
    <row r="122" spans="1:10" hidden="1">
      <c r="A122" s="1"/>
      <c r="B122" s="1"/>
      <c r="C122" s="2"/>
      <c r="F122" s="9">
        <f t="shared" si="19"/>
        <v>140.90909090909093</v>
      </c>
      <c r="G122" s="9">
        <v>43.134718641208153</v>
      </c>
      <c r="H122" s="9">
        <v>1.9997501262074289</v>
      </c>
      <c r="I122" s="9">
        <v>3</v>
      </c>
      <c r="J122" s="9">
        <v>2.8016117998840961</v>
      </c>
    </row>
    <row r="123" spans="1:10" hidden="1">
      <c r="A123" s="1"/>
      <c r="B123" s="1"/>
      <c r="C123" s="2"/>
      <c r="F123" s="9">
        <f t="shared" si="19"/>
        <v>143.63636363636365</v>
      </c>
      <c r="G123" s="9">
        <v>45.609474260947053</v>
      </c>
      <c r="H123" s="9">
        <v>1.9998886638130917</v>
      </c>
      <c r="I123" s="9">
        <v>3</v>
      </c>
      <c r="J123" s="9">
        <v>2.2755693762007034</v>
      </c>
    </row>
    <row r="124" spans="1:10" hidden="1">
      <c r="A124" s="1"/>
      <c r="B124" s="1"/>
      <c r="C124" s="2"/>
      <c r="F124" s="9">
        <f t="shared" si="19"/>
        <v>146.36363636363637</v>
      </c>
      <c r="G124" s="9">
        <v>48.11167165052079</v>
      </c>
      <c r="H124" s="9">
        <v>1.9999514969817616</v>
      </c>
      <c r="I124" s="9">
        <v>3</v>
      </c>
      <c r="J124" s="9">
        <v>1.8438594472877368</v>
      </c>
    </row>
    <row r="125" spans="1:10" hidden="1">
      <c r="A125" s="1"/>
      <c r="B125" s="1"/>
      <c r="C125" s="2"/>
      <c r="F125" s="9">
        <f t="shared" si="19"/>
        <v>149.09090909090909</v>
      </c>
      <c r="G125" s="9">
        <v>50.638555477483976</v>
      </c>
      <c r="H125" s="9">
        <v>1.9999793119820151</v>
      </c>
      <c r="I125" s="9">
        <v>3</v>
      </c>
      <c r="J125" s="9">
        <v>1.4906797110905057</v>
      </c>
    </row>
    <row r="126" spans="1:10" hidden="1">
      <c r="A126" s="1"/>
      <c r="B126" s="1"/>
      <c r="C126" s="2"/>
      <c r="F126" s="9">
        <f t="shared" si="19"/>
        <v>151.81818181818181</v>
      </c>
      <c r="G126" s="9">
        <v>53.187605546247042</v>
      </c>
      <c r="H126" s="9">
        <v>1.999991349264959</v>
      </c>
      <c r="I126" s="9">
        <v>3</v>
      </c>
      <c r="J126" s="9">
        <v>1.202596733582213</v>
      </c>
    </row>
    <row r="127" spans="1:10" hidden="1">
      <c r="A127" s="1"/>
      <c r="B127" s="1"/>
      <c r="C127" s="2"/>
      <c r="F127" s="9">
        <f t="shared" si="19"/>
        <v>154.54545454545453</v>
      </c>
      <c r="G127" s="9">
        <v>55.756524448058116</v>
      </c>
      <c r="H127" s="9">
        <v>1.9999964493778672</v>
      </c>
      <c r="I127" s="9">
        <v>3</v>
      </c>
      <c r="J127" s="9">
        <v>0.96826100150479544</v>
      </c>
    </row>
    <row r="128" spans="1:10" hidden="1">
      <c r="A128" s="1"/>
      <c r="B128" s="1"/>
      <c r="C128" s="2"/>
      <c r="F128" s="9">
        <f t="shared" si="19"/>
        <v>157.27272727272725</v>
      </c>
      <c r="G128" s="9">
        <v>58.343224276318466</v>
      </c>
      <c r="H128" s="9">
        <v>1.9999985678937522</v>
      </c>
      <c r="I128" s="9">
        <v>3</v>
      </c>
      <c r="J128" s="9">
        <v>0.778137774986013</v>
      </c>
    </row>
    <row r="129" spans="1:18" hidden="1">
      <c r="A129" s="1"/>
      <c r="B129" s="1"/>
      <c r="C129" s="2"/>
      <c r="F129" s="9">
        <f t="shared" si="19"/>
        <v>159.99999999999997</v>
      </c>
      <c r="G129" s="9">
        <v>60.945812840832488</v>
      </c>
      <c r="H129" s="9">
        <v>1.9999994317521579</v>
      </c>
      <c r="I129" s="9">
        <v>3</v>
      </c>
      <c r="J129" s="9">
        <v>0.62425853004752674</v>
      </c>
    </row>
    <row r="130" spans="1:18" hidden="1">
      <c r="A130" s="1"/>
      <c r="B130" s="1"/>
      <c r="C130" s="2"/>
    </row>
    <row r="131" spans="1:18" hidden="1">
      <c r="A131" s="1"/>
      <c r="B131" s="1"/>
      <c r="C131" s="2"/>
    </row>
    <row r="132" spans="1:18" hidden="1">
      <c r="A132" s="1"/>
      <c r="B132" s="1"/>
      <c r="C132" s="2"/>
      <c r="P132" s="2" t="str">
        <f>Q132&amp; ": " &amp; R132</f>
        <v>1: Single option, premium vs spot</v>
      </c>
      <c r="Q132" s="87">
        <v>1</v>
      </c>
      <c r="R132" s="2" t="s">
        <v>103</v>
      </c>
    </row>
    <row r="133" spans="1:18" hidden="1">
      <c r="A133" s="1"/>
      <c r="B133" s="1"/>
      <c r="C133" s="2"/>
      <c r="P133" s="2" t="str">
        <f t="shared" ref="P133:P159" si="20">Q133&amp; ": " &amp; R133</f>
        <v>2: As before but with second option near expiry</v>
      </c>
      <c r="Q133" s="87">
        <f>Q132+1</f>
        <v>2</v>
      </c>
      <c r="R133" s="2" t="s">
        <v>104</v>
      </c>
    </row>
    <row r="134" spans="1:18" hidden="1">
      <c r="A134" s="1"/>
      <c r="B134" s="1"/>
      <c r="C134" s="2"/>
      <c r="P134" s="2" t="str">
        <f t="shared" si="20"/>
        <v>3: Third option - further from expiry</v>
      </c>
      <c r="Q134" s="87">
        <f t="shared" ref="Q134:Q159" si="21">Q133+1</f>
        <v>3</v>
      </c>
      <c r="R134" s="2" t="s">
        <v>105</v>
      </c>
    </row>
    <row r="135" spans="1:18" hidden="1">
      <c r="A135" s="1"/>
      <c r="B135" s="1"/>
      <c r="C135" s="2"/>
      <c r="L135" s="2" t="s">
        <v>106</v>
      </c>
      <c r="M135" s="2">
        <f>MIN(y_1)</f>
        <v>5.9193968888194559E-3</v>
      </c>
      <c r="P135" s="2" t="str">
        <f t="shared" si="20"/>
        <v>4: Theta - ITM, ATM, OTM near and far from expiry</v>
      </c>
      <c r="Q135" s="87">
        <f t="shared" si="21"/>
        <v>4</v>
      </c>
      <c r="R135" s="2" t="s">
        <v>107</v>
      </c>
    </row>
    <row r="136" spans="1:18" hidden="1">
      <c r="A136" s="1"/>
      <c r="B136" s="1"/>
      <c r="C136" s="2"/>
      <c r="L136" s="2" t="s">
        <v>108</v>
      </c>
      <c r="M136" s="2">
        <f>MAX(y_1)</f>
        <v>60.945812840832488</v>
      </c>
      <c r="P136" s="2" t="str">
        <f t="shared" si="20"/>
        <v>5: Delta as function of spot for call</v>
      </c>
      <c r="Q136" s="87">
        <f t="shared" si="21"/>
        <v>5</v>
      </c>
      <c r="R136" s="2" t="s">
        <v>109</v>
      </c>
    </row>
    <row r="137" spans="1:18" hidden="1">
      <c r="A137" s="1"/>
      <c r="B137" s="1"/>
      <c r="C137" s="2"/>
      <c r="P137" s="2" t="str">
        <f t="shared" si="20"/>
        <v>6: Delta for call and put</v>
      </c>
      <c r="Q137" s="87">
        <f t="shared" si="21"/>
        <v>6</v>
      </c>
      <c r="R137" s="2" t="s">
        <v>110</v>
      </c>
    </row>
    <row r="138" spans="1:18" hidden="1">
      <c r="A138" s="1"/>
      <c r="B138" s="1"/>
      <c r="C138" s="2"/>
      <c r="P138" s="2" t="str">
        <f t="shared" si="20"/>
        <v>7: Delta for near to expiry and far to expiry</v>
      </c>
      <c r="Q138" s="87">
        <f t="shared" si="21"/>
        <v>7</v>
      </c>
      <c r="R138" s="2" t="s">
        <v>111</v>
      </c>
    </row>
    <row r="139" spans="1:18" hidden="1">
      <c r="A139" s="1"/>
      <c r="B139" s="1"/>
      <c r="C139" s="2"/>
      <c r="P139" s="2" t="str">
        <f t="shared" si="20"/>
        <v>8: Illustration that delta-neutrality is at only one point.</v>
      </c>
      <c r="Q139" s="87">
        <f t="shared" si="21"/>
        <v>8</v>
      </c>
      <c r="R139" s="2" t="s">
        <v>112</v>
      </c>
    </row>
    <row r="140" spans="1:18" hidden="1">
      <c r="A140" s="1"/>
      <c r="B140" s="1"/>
      <c r="C140" s="2"/>
      <c r="P140" s="2" t="str">
        <f t="shared" si="20"/>
        <v>9: Gamma as function of spot for call and put</v>
      </c>
      <c r="Q140" s="87">
        <f t="shared" si="21"/>
        <v>9</v>
      </c>
      <c r="R140" s="2" t="s">
        <v>113</v>
      </c>
    </row>
    <row r="141" spans="1:18" hidden="1">
      <c r="A141" s="1"/>
      <c r="B141" s="1"/>
      <c r="C141" s="2"/>
      <c r="P141" s="2" t="str">
        <f t="shared" si="20"/>
        <v>10: Balance equation</v>
      </c>
      <c r="Q141" s="87">
        <f t="shared" si="21"/>
        <v>10</v>
      </c>
      <c r="R141" s="2" t="s">
        <v>114</v>
      </c>
    </row>
    <row r="142" spans="1:18" hidden="1">
      <c r="A142" s="1"/>
      <c r="B142" s="1"/>
      <c r="C142" s="2"/>
      <c r="P142" s="2" t="str">
        <f t="shared" si="20"/>
        <v xml:space="preserve">11: Balance equation of delta-neutral derivative portfolio </v>
      </c>
      <c r="Q142" s="87">
        <f t="shared" si="21"/>
        <v>11</v>
      </c>
      <c r="R142" s="2" t="s">
        <v>115</v>
      </c>
    </row>
    <row r="143" spans="1:18" hidden="1">
      <c r="A143" s="1"/>
      <c r="B143" s="1"/>
      <c r="C143" s="2"/>
      <c r="P143" s="2" t="str">
        <f t="shared" si="20"/>
        <v>12: Delta hedge</v>
      </c>
      <c r="Q143" s="87">
        <f t="shared" si="21"/>
        <v>12</v>
      </c>
      <c r="R143" s="2" t="s">
        <v>116</v>
      </c>
    </row>
    <row r="144" spans="1:18" hidden="1">
      <c r="A144" s="1"/>
      <c r="B144" s="1"/>
      <c r="C144" s="2"/>
      <c r="P144" s="2" t="str">
        <f t="shared" si="20"/>
        <v>13: ANZ 21 Apr</v>
      </c>
      <c r="Q144" s="87">
        <f t="shared" si="21"/>
        <v>13</v>
      </c>
      <c r="R144" s="2" t="s">
        <v>117</v>
      </c>
    </row>
    <row r="145" spans="1:18" hidden="1">
      <c r="A145" s="24"/>
      <c r="B145" s="24"/>
      <c r="C145" s="4"/>
      <c r="D145" s="4"/>
      <c r="E145" s="4"/>
      <c r="F145" s="4"/>
      <c r="G145" s="4"/>
      <c r="H145" s="4"/>
      <c r="I145" s="4"/>
      <c r="J145" s="4"/>
      <c r="K145" s="4"/>
      <c r="L145" s="4"/>
      <c r="M145" s="4"/>
      <c r="N145" s="4"/>
      <c r="O145" s="4"/>
      <c r="P145" s="2" t="str">
        <f t="shared" si="20"/>
        <v>14: Delta hedge after time passed - theta decay</v>
      </c>
      <c r="Q145" s="87">
        <f t="shared" si="21"/>
        <v>14</v>
      </c>
      <c r="R145" s="2" t="s">
        <v>118</v>
      </c>
    </row>
    <row r="146" spans="1:18" hidden="1">
      <c r="A146" s="24"/>
      <c r="B146" s="24"/>
      <c r="C146" s="4"/>
      <c r="D146" s="4"/>
      <c r="E146" s="4"/>
      <c r="F146" s="4"/>
      <c r="G146" s="4"/>
      <c r="H146" s="4"/>
      <c r="I146" s="4"/>
      <c r="J146" s="4"/>
      <c r="K146" s="4"/>
      <c r="L146" s="4"/>
      <c r="M146" s="4"/>
      <c r="N146" s="4"/>
      <c r="O146" s="4"/>
      <c r="P146" s="2" t="str">
        <f t="shared" si="20"/>
        <v>15: Delta hedge, theta / gamma and implied vol</v>
      </c>
      <c r="Q146" s="87">
        <f t="shared" si="21"/>
        <v>15</v>
      </c>
      <c r="R146" s="2" t="s">
        <v>119</v>
      </c>
    </row>
    <row r="147" spans="1:18" hidden="1">
      <c r="A147" s="24"/>
      <c r="B147" s="24"/>
      <c r="C147" s="4"/>
      <c r="D147" s="4"/>
      <c r="E147" s="4"/>
      <c r="F147" s="4"/>
      <c r="G147" s="4"/>
      <c r="H147" s="4"/>
      <c r="I147" s="4"/>
      <c r="J147" s="4"/>
      <c r="K147" s="4"/>
      <c r="L147" s="4"/>
      <c r="M147" s="4"/>
      <c r="N147" s="4"/>
      <c r="O147" s="4"/>
      <c r="P147" s="2" t="str">
        <f t="shared" si="20"/>
        <v>16: Rent - calculation of asset price movement size</v>
      </c>
      <c r="Q147" s="87">
        <f t="shared" si="21"/>
        <v>16</v>
      </c>
      <c r="R147" s="2" t="s">
        <v>120</v>
      </c>
    </row>
    <row r="148" spans="1:18" hidden="1">
      <c r="A148" s="24"/>
      <c r="B148" s="24"/>
      <c r="C148" s="4"/>
      <c r="D148" s="4"/>
      <c r="E148" s="4"/>
      <c r="F148" s="4"/>
      <c r="G148" s="4"/>
      <c r="H148" s="4"/>
      <c r="I148" s="4"/>
      <c r="J148" s="4"/>
      <c r="K148" s="4"/>
      <c r="L148" s="4"/>
      <c r="M148" s="4"/>
      <c r="N148" s="4"/>
      <c r="O148" s="4"/>
      <c r="P148" s="2" t="str">
        <f t="shared" si="20"/>
        <v>17: Gamma as a function of volatility</v>
      </c>
      <c r="Q148" s="87">
        <f t="shared" si="21"/>
        <v>17</v>
      </c>
      <c r="R148" s="2" t="s">
        <v>121</v>
      </c>
    </row>
    <row r="149" spans="1:18" hidden="1">
      <c r="A149" s="24"/>
      <c r="B149" s="24"/>
      <c r="C149" s="4"/>
      <c r="D149" s="4"/>
      <c r="E149" s="4"/>
      <c r="F149" s="4"/>
      <c r="G149" s="4"/>
      <c r="H149" s="4"/>
      <c r="I149" s="4"/>
      <c r="J149" s="4"/>
      <c r="K149" s="4"/>
      <c r="L149" s="4"/>
      <c r="M149" s="4"/>
      <c r="N149" s="4"/>
      <c r="O149" s="4"/>
      <c r="P149" s="2" t="str">
        <f t="shared" si="20"/>
        <v>18: Premium vs time for OTM, ATM and ITM options</v>
      </c>
      <c r="Q149" s="87">
        <f t="shared" si="21"/>
        <v>18</v>
      </c>
      <c r="R149" s="2" t="s">
        <v>122</v>
      </c>
    </row>
    <row r="150" spans="1:18" hidden="1">
      <c r="A150" s="24"/>
      <c r="B150" s="24"/>
      <c r="C150" s="4"/>
      <c r="D150" s="4"/>
      <c r="E150" s="4"/>
      <c r="F150" s="4"/>
      <c r="G150" s="4"/>
      <c r="H150" s="4"/>
      <c r="I150" s="4"/>
      <c r="J150" s="4"/>
      <c r="K150" s="4"/>
      <c r="L150" s="4"/>
      <c r="M150" s="4"/>
      <c r="N150" s="4"/>
      <c r="O150" s="4"/>
      <c r="P150" s="2" t="str">
        <f t="shared" si="20"/>
        <v>19: One-touch digital vs digital</v>
      </c>
      <c r="Q150" s="87">
        <f t="shared" si="21"/>
        <v>19</v>
      </c>
      <c r="R150" s="2" t="s">
        <v>123</v>
      </c>
    </row>
    <row r="151" spans="1:18" hidden="1">
      <c r="A151" s="24"/>
      <c r="B151" s="24"/>
      <c r="C151" s="4"/>
      <c r="D151" s="4"/>
      <c r="E151" s="4"/>
      <c r="F151" s="4"/>
      <c r="G151" s="4"/>
      <c r="H151" s="4"/>
      <c r="I151" s="4"/>
      <c r="J151" s="4"/>
      <c r="K151" s="4"/>
      <c r="L151" s="4"/>
      <c r="M151" s="4"/>
      <c r="N151" s="4"/>
      <c r="O151" s="4"/>
      <c r="P151" s="2" t="str">
        <f t="shared" si="20"/>
        <v>20: Digital call vs spot vs expiry</v>
      </c>
      <c r="Q151" s="87">
        <f t="shared" si="21"/>
        <v>20</v>
      </c>
      <c r="R151" s="2" t="s">
        <v>124</v>
      </c>
    </row>
    <row r="152" spans="1:18" hidden="1">
      <c r="A152" s="24"/>
      <c r="B152" s="24"/>
      <c r="C152" s="4"/>
      <c r="D152" s="4"/>
      <c r="E152" s="4"/>
      <c r="F152" s="4"/>
      <c r="G152" s="4"/>
      <c r="H152" s="4"/>
      <c r="I152" s="4"/>
      <c r="J152" s="4"/>
      <c r="K152" s="4"/>
      <c r="L152" s="4"/>
      <c r="M152" s="4"/>
      <c r="N152" s="4"/>
      <c r="O152" s="4"/>
      <c r="P152" s="2" t="str">
        <f t="shared" si="20"/>
        <v>21: Call vs digital delta vs time to expiry</v>
      </c>
      <c r="Q152" s="87">
        <f t="shared" si="21"/>
        <v>21</v>
      </c>
      <c r="R152" s="2" t="s">
        <v>125</v>
      </c>
    </row>
    <row r="153" spans="1:18" hidden="1">
      <c r="A153" s="24"/>
      <c r="B153" s="24"/>
      <c r="C153" s="4"/>
      <c r="D153" s="4"/>
      <c r="E153" s="4"/>
      <c r="F153" s="4"/>
      <c r="G153" s="4"/>
      <c r="H153" s="4"/>
      <c r="I153" s="4"/>
      <c r="J153" s="4"/>
      <c r="K153" s="4"/>
      <c r="L153" s="4"/>
      <c r="M153" s="4"/>
      <c r="N153" s="4"/>
      <c r="O153" s="4"/>
      <c r="P153" s="2" t="str">
        <f t="shared" si="20"/>
        <v>22: Up and out vega as function of spot</v>
      </c>
      <c r="Q153" s="87">
        <f t="shared" si="21"/>
        <v>22</v>
      </c>
      <c r="R153" s="2" t="s">
        <v>126</v>
      </c>
    </row>
    <row r="154" spans="1:18" hidden="1">
      <c r="A154" s="24"/>
      <c r="B154" s="24"/>
      <c r="C154" s="4"/>
      <c r="D154" s="4"/>
      <c r="E154" s="4"/>
      <c r="F154" s="4"/>
      <c r="G154" s="4"/>
      <c r="H154" s="4"/>
      <c r="I154" s="4"/>
      <c r="J154" s="4"/>
      <c r="K154" s="4"/>
      <c r="L154" s="4"/>
      <c r="M154" s="4"/>
      <c r="N154" s="4"/>
      <c r="O154" s="4"/>
      <c r="P154" s="2" t="str">
        <f t="shared" si="20"/>
        <v>23: Vega as a function of volatility</v>
      </c>
      <c r="Q154" s="87">
        <f t="shared" si="21"/>
        <v>23</v>
      </c>
      <c r="R154" s="2" t="s">
        <v>127</v>
      </c>
    </row>
    <row r="155" spans="1:18" hidden="1">
      <c r="A155" s="24"/>
      <c r="B155" s="24"/>
      <c r="C155" s="4"/>
      <c r="D155" s="4"/>
      <c r="E155" s="4"/>
      <c r="F155" s="4"/>
      <c r="G155" s="4"/>
      <c r="H155" s="4"/>
      <c r="I155" s="4"/>
      <c r="J155" s="4"/>
      <c r="K155" s="4"/>
      <c r="L155" s="4"/>
      <c r="M155" s="4"/>
      <c r="N155" s="4"/>
      <c r="O155" s="4"/>
      <c r="P155" s="2" t="str">
        <f t="shared" si="20"/>
        <v>24: Digital call made from vanilla call spread</v>
      </c>
      <c r="Q155" s="87">
        <f t="shared" si="21"/>
        <v>24</v>
      </c>
      <c r="R155" s="2" t="s">
        <v>128</v>
      </c>
    </row>
    <row r="156" spans="1:18" hidden="1">
      <c r="A156" s="24"/>
      <c r="B156" s="24"/>
      <c r="C156" s="4"/>
      <c r="D156" s="4"/>
      <c r="E156" s="4"/>
      <c r="F156" s="4"/>
      <c r="G156" s="4"/>
      <c r="H156" s="4"/>
      <c r="I156" s="4"/>
      <c r="J156" s="4"/>
      <c r="K156" s="4"/>
      <c r="L156" s="4"/>
      <c r="M156" s="4"/>
      <c r="N156" s="4"/>
      <c r="O156" s="4"/>
      <c r="P156" s="2" t="str">
        <f t="shared" si="20"/>
        <v>25: Digital call premium vs spot</v>
      </c>
      <c r="Q156" s="87">
        <f t="shared" si="21"/>
        <v>25</v>
      </c>
      <c r="R156" s="2" t="s">
        <v>129</v>
      </c>
    </row>
    <row r="157" spans="1:18" hidden="1">
      <c r="A157" s="24"/>
      <c r="B157" s="24"/>
      <c r="C157" s="4"/>
      <c r="D157" s="4"/>
      <c r="E157" s="4"/>
      <c r="F157" s="4"/>
      <c r="G157" s="4"/>
      <c r="H157" s="4"/>
      <c r="I157" s="4"/>
      <c r="J157" s="4"/>
      <c r="K157" s="4"/>
      <c r="L157" s="4"/>
      <c r="M157" s="4"/>
      <c r="N157" s="4"/>
      <c r="O157" s="4"/>
      <c r="P157" s="2" t="str">
        <f t="shared" si="20"/>
        <v>26: Knock-out + knock-in = Vanilla</v>
      </c>
      <c r="Q157" s="87">
        <f t="shared" si="21"/>
        <v>26</v>
      </c>
      <c r="R157" s="2" t="s">
        <v>130</v>
      </c>
    </row>
    <row r="158" spans="1:18" hidden="1">
      <c r="A158" s="24"/>
      <c r="B158" s="24"/>
      <c r="C158" s="4"/>
      <c r="D158" s="4"/>
      <c r="E158" s="4"/>
      <c r="F158" s="4"/>
      <c r="G158" s="4"/>
      <c r="H158" s="4"/>
      <c r="I158" s="4"/>
      <c r="J158" s="4"/>
      <c r="K158" s="4"/>
      <c r="L158" s="4"/>
      <c r="M158" s="4"/>
      <c r="N158" s="4"/>
      <c r="O158" s="4"/>
      <c r="P158" s="2" t="str">
        <f t="shared" si="20"/>
        <v>27: Knock-out + knock-in = Vanilla #2</v>
      </c>
      <c r="Q158" s="87">
        <f t="shared" si="21"/>
        <v>27</v>
      </c>
      <c r="R158" s="2" t="s">
        <v>131</v>
      </c>
    </row>
    <row r="159" spans="1:18" hidden="1">
      <c r="A159" s="24"/>
      <c r="B159" s="24"/>
      <c r="C159" s="4"/>
      <c r="D159" s="4"/>
      <c r="E159" s="4"/>
      <c r="F159" s="4"/>
      <c r="G159" s="4"/>
      <c r="H159" s="4"/>
      <c r="I159" s="4"/>
      <c r="J159" s="4"/>
      <c r="K159" s="4"/>
      <c r="L159" s="4"/>
      <c r="M159" s="4"/>
      <c r="N159" s="4"/>
      <c r="O159" s="4"/>
      <c r="P159" s="2" t="str">
        <f t="shared" si="20"/>
        <v>28: Look at the greeks for CUO p11</v>
      </c>
      <c r="Q159" s="87">
        <f t="shared" si="21"/>
        <v>28</v>
      </c>
      <c r="R159" s="2" t="s">
        <v>132</v>
      </c>
    </row>
    <row r="160" spans="1:18" hidden="1">
      <c r="A160" s="24"/>
      <c r="B160" s="24"/>
      <c r="C160" s="4"/>
      <c r="D160" s="4"/>
      <c r="E160" s="4"/>
      <c r="F160" s="4"/>
      <c r="G160" s="4"/>
      <c r="H160" s="4"/>
      <c r="I160" s="4"/>
      <c r="J160" s="4"/>
      <c r="K160" s="4"/>
      <c r="L160" s="4"/>
      <c r="M160" s="4"/>
      <c r="N160" s="4"/>
      <c r="O160" s="4"/>
      <c r="P160" s="2" t="str">
        <f t="shared" ref="P160:P171" si="22">Q160&amp; ": " &amp; R160</f>
        <v>29: High OTM vega for barrier vs vanilla</v>
      </c>
      <c r="Q160" s="87">
        <f t="shared" ref="Q160:Q171" si="23">Q159+1</f>
        <v>29</v>
      </c>
      <c r="R160" s="2" t="s">
        <v>133</v>
      </c>
    </row>
    <row r="161" spans="1:18" hidden="1">
      <c r="A161" s="24"/>
      <c r="B161" s="24"/>
      <c r="C161" s="4"/>
      <c r="D161" s="4"/>
      <c r="E161" s="4"/>
      <c r="F161" s="4"/>
      <c r="G161" s="4"/>
      <c r="H161" s="4"/>
      <c r="I161" s="4"/>
      <c r="J161" s="4"/>
      <c r="K161" s="4"/>
      <c r="L161" s="4"/>
      <c r="M161" s="4"/>
      <c r="N161" s="4"/>
      <c r="O161" s="4"/>
      <c r="P161" s="2" t="str">
        <f t="shared" si="22"/>
        <v>30: High vega near barrier</v>
      </c>
      <c r="Q161" s="87">
        <f t="shared" si="23"/>
        <v>30</v>
      </c>
      <c r="R161" s="2" t="s">
        <v>134</v>
      </c>
    </row>
    <row r="162" spans="1:18" hidden="1">
      <c r="A162" s="24"/>
      <c r="B162" s="24"/>
      <c r="C162" s="4"/>
      <c r="D162" s="4"/>
      <c r="E162" s="4"/>
      <c r="F162" s="4"/>
      <c r="G162" s="4"/>
      <c r="H162" s="4"/>
      <c r="I162" s="4"/>
      <c r="J162" s="4"/>
      <c r="K162" s="4"/>
      <c r="L162" s="4"/>
      <c r="M162" s="4"/>
      <c r="N162" s="4"/>
      <c r="O162" s="4"/>
      <c r="P162" s="2" t="str">
        <f t="shared" si="22"/>
        <v>31: Vega as function of strike</v>
      </c>
      <c r="Q162" s="87">
        <f t="shared" si="23"/>
        <v>31</v>
      </c>
      <c r="R162" s="2" t="s">
        <v>135</v>
      </c>
    </row>
    <row r="163" spans="1:18" hidden="1">
      <c r="A163" s="24"/>
      <c r="B163" s="24"/>
      <c r="C163" s="4"/>
      <c r="D163" s="4"/>
      <c r="E163" s="4"/>
      <c r="F163" s="4"/>
      <c r="G163" s="4"/>
      <c r="H163" s="4"/>
      <c r="I163" s="4"/>
      <c r="J163" s="4"/>
      <c r="K163" s="4"/>
      <c r="L163" s="4"/>
      <c r="M163" s="4"/>
      <c r="N163" s="4"/>
      <c r="O163" s="4"/>
      <c r="P163" s="2" t="str">
        <f t="shared" si="22"/>
        <v>32: Delta as function of moneyness and time / vol</v>
      </c>
      <c r="Q163" s="87">
        <f t="shared" si="23"/>
        <v>32</v>
      </c>
      <c r="R163" s="2" t="s">
        <v>102</v>
      </c>
    </row>
    <row r="164" spans="1:18" hidden="1">
      <c r="A164" s="24"/>
      <c r="B164" s="24"/>
      <c r="C164" s="4"/>
      <c r="D164" s="4"/>
      <c r="E164" s="4"/>
      <c r="F164" s="4"/>
      <c r="G164" s="4"/>
      <c r="H164" s="4"/>
      <c r="I164" s="4"/>
      <c r="J164" s="4"/>
      <c r="K164" s="4"/>
      <c r="L164" s="4"/>
      <c r="M164" s="4"/>
      <c r="N164" s="4"/>
      <c r="O164" s="4"/>
      <c r="P164" s="2" t="str">
        <f t="shared" si="22"/>
        <v xml:space="preserve">33: </v>
      </c>
      <c r="Q164" s="87">
        <f t="shared" si="23"/>
        <v>33</v>
      </c>
    </row>
    <row r="165" spans="1:18" hidden="1">
      <c r="A165" s="24"/>
      <c r="B165" s="24"/>
      <c r="C165" s="4"/>
      <c r="D165" s="4"/>
      <c r="E165" s="4"/>
      <c r="F165" s="4"/>
      <c r="G165" s="4"/>
      <c r="H165" s="4"/>
      <c r="I165" s="4"/>
      <c r="J165" s="4"/>
      <c r="K165" s="4"/>
      <c r="L165" s="4"/>
      <c r="M165" s="4"/>
      <c r="N165" s="4"/>
      <c r="O165" s="4"/>
      <c r="P165" s="2" t="str">
        <f t="shared" si="22"/>
        <v>34: ITM delta as function of vol</v>
      </c>
      <c r="Q165" s="87">
        <f t="shared" si="23"/>
        <v>34</v>
      </c>
      <c r="R165" s="2" t="s">
        <v>136</v>
      </c>
    </row>
    <row r="166" spans="1:18" hidden="1">
      <c r="A166" s="24"/>
      <c r="B166" s="24"/>
      <c r="C166" s="4"/>
      <c r="D166" s="4"/>
      <c r="E166" s="4"/>
      <c r="F166" s="4"/>
      <c r="G166" s="4"/>
      <c r="H166" s="4"/>
      <c r="I166" s="4"/>
      <c r="J166" s="4"/>
      <c r="K166" s="4"/>
      <c r="L166" s="4"/>
      <c r="M166" s="4"/>
      <c r="N166" s="4"/>
      <c r="O166" s="4"/>
      <c r="P166" s="2" t="str">
        <f t="shared" si="22"/>
        <v xml:space="preserve">35: </v>
      </c>
      <c r="Q166" s="87">
        <f t="shared" si="23"/>
        <v>35</v>
      </c>
    </row>
    <row r="167" spans="1:18" hidden="1">
      <c r="A167" s="24"/>
      <c r="B167" s="24"/>
      <c r="C167" s="4"/>
      <c r="D167" s="4"/>
      <c r="E167" s="4"/>
      <c r="F167" s="4"/>
      <c r="G167" s="4"/>
      <c r="H167" s="4"/>
      <c r="I167" s="4"/>
      <c r="J167" s="4"/>
      <c r="K167" s="4"/>
      <c r="L167" s="4"/>
      <c r="M167" s="4"/>
      <c r="N167" s="4"/>
      <c r="O167" s="4"/>
      <c r="P167" s="2" t="str">
        <f t="shared" si="22"/>
        <v xml:space="preserve">36: </v>
      </c>
      <c r="Q167" s="87">
        <f t="shared" si="23"/>
        <v>36</v>
      </c>
    </row>
    <row r="168" spans="1:18" hidden="1">
      <c r="A168" s="24"/>
      <c r="B168" s="24"/>
      <c r="C168" s="4"/>
      <c r="D168" s="4"/>
      <c r="E168" s="4"/>
      <c r="F168" s="4"/>
      <c r="G168" s="4"/>
      <c r="H168" s="4"/>
      <c r="I168" s="4"/>
      <c r="J168" s="4"/>
      <c r="K168" s="4"/>
      <c r="L168" s="4"/>
      <c r="M168" s="4"/>
      <c r="N168" s="4"/>
      <c r="O168" s="4"/>
      <c r="P168" s="2" t="str">
        <f t="shared" si="22"/>
        <v xml:space="preserve">37: </v>
      </c>
      <c r="Q168" s="87">
        <f t="shared" si="23"/>
        <v>37</v>
      </c>
    </row>
    <row r="169" spans="1:18" hidden="1">
      <c r="A169" s="24"/>
      <c r="B169" s="24"/>
      <c r="C169" s="4"/>
      <c r="D169" s="4"/>
      <c r="E169" s="4"/>
      <c r="F169" s="4"/>
      <c r="G169" s="4"/>
      <c r="H169" s="4"/>
      <c r="I169" s="4"/>
      <c r="J169" s="4"/>
      <c r="K169" s="4"/>
      <c r="L169" s="4"/>
      <c r="M169" s="4"/>
      <c r="N169" s="4"/>
      <c r="O169" s="4"/>
      <c r="P169" s="2" t="str">
        <f t="shared" si="22"/>
        <v xml:space="preserve">38: </v>
      </c>
      <c r="Q169" s="87">
        <f t="shared" si="23"/>
        <v>38</v>
      </c>
    </row>
    <row r="170" spans="1:18" hidden="1">
      <c r="A170" s="24"/>
      <c r="B170" s="24"/>
      <c r="C170" s="4"/>
      <c r="D170" s="4"/>
      <c r="E170" s="4"/>
      <c r="F170" s="4"/>
      <c r="G170" s="4"/>
      <c r="H170" s="4"/>
      <c r="I170" s="4"/>
      <c r="J170" s="4"/>
      <c r="K170" s="4"/>
      <c r="L170" s="4"/>
      <c r="M170" s="4"/>
      <c r="N170" s="4"/>
      <c r="O170" s="4"/>
      <c r="P170" s="2" t="str">
        <f t="shared" si="22"/>
        <v xml:space="preserve">39: </v>
      </c>
      <c r="Q170" s="87">
        <f t="shared" si="23"/>
        <v>39</v>
      </c>
    </row>
    <row r="171" spans="1:18" hidden="1">
      <c r="A171" s="24"/>
      <c r="B171" s="24"/>
      <c r="C171" s="4"/>
      <c r="D171" s="4"/>
      <c r="E171" s="4"/>
      <c r="F171" s="4"/>
      <c r="G171" s="4"/>
      <c r="H171" s="4"/>
      <c r="I171" s="4"/>
      <c r="J171" s="4"/>
      <c r="K171" s="4"/>
      <c r="L171" s="4"/>
      <c r="M171" s="4"/>
      <c r="N171" s="4"/>
      <c r="O171" s="4"/>
      <c r="P171" s="2" t="str">
        <f t="shared" si="22"/>
        <v xml:space="preserve">40: </v>
      </c>
      <c r="Q171" s="87">
        <f t="shared" si="23"/>
        <v>40</v>
      </c>
    </row>
    <row r="172" spans="1:18" hidden="1">
      <c r="A172" s="24"/>
      <c r="B172" s="24"/>
      <c r="C172" s="4"/>
      <c r="D172" s="4"/>
      <c r="E172" s="4"/>
      <c r="F172" s="4"/>
      <c r="G172" s="4"/>
      <c r="H172" s="4"/>
      <c r="I172" s="4"/>
      <c r="J172" s="4"/>
      <c r="K172" s="4"/>
      <c r="L172" s="4"/>
      <c r="M172" s="4"/>
      <c r="N172" s="4"/>
      <c r="O172" s="4"/>
      <c r="Q172" s="87"/>
    </row>
    <row r="173" spans="1:18" hidden="1">
      <c r="A173" s="24"/>
      <c r="B173" s="24"/>
      <c r="C173" s="4"/>
      <c r="D173" s="4"/>
      <c r="E173" s="4"/>
      <c r="F173" s="4"/>
      <c r="G173" s="4"/>
      <c r="H173" s="4"/>
      <c r="I173" s="4"/>
      <c r="J173" s="4"/>
      <c r="K173" s="4"/>
      <c r="L173" s="4"/>
      <c r="M173" s="4"/>
      <c r="N173" s="4"/>
      <c r="O173" s="4"/>
      <c r="Q173" s="87"/>
    </row>
  </sheetData>
  <sheetProtection algorithmName="SHA-512" hashValue="ocoAvEYJmOI3+ZB4Ggv+imLnIOVQETvCLhJcqJOzhC0NCyHAr2F7fKOKYeOjs1tlnyHQLVIbZdyImbHBrIupaw==" saltValue="0WEDRJdQOy+YiiKFuOCK+g==" spinCount="100000" sheet="1" objects="1" scenarios="1"/>
  <mergeCells count="17">
    <mergeCell ref="G72:L72"/>
    <mergeCell ref="E68:O70"/>
    <mergeCell ref="V2:W2"/>
    <mergeCell ref="Y2:Z2"/>
    <mergeCell ref="D36:N36"/>
    <mergeCell ref="D35:N35"/>
    <mergeCell ref="D25:F25"/>
    <mergeCell ref="BV1:CB1"/>
    <mergeCell ref="AC2:AD2"/>
    <mergeCell ref="D24:F24"/>
    <mergeCell ref="R5:S5"/>
    <mergeCell ref="AC10:AD10"/>
    <mergeCell ref="BR1:BU1"/>
    <mergeCell ref="AC5:AD5"/>
    <mergeCell ref="R2:S2"/>
    <mergeCell ref="T2:U2"/>
    <mergeCell ref="AA2:AB2"/>
  </mergeCells>
  <phoneticPr fontId="27" type="noConversion"/>
  <conditionalFormatting sqref="E39:E42">
    <cfRule type="expression" dxfId="2" priority="2" stopIfTrue="1">
      <formula>U39</formula>
    </cfRule>
  </conditionalFormatting>
  <conditionalFormatting sqref="D36">
    <cfRule type="expression" dxfId="1" priority="3" stopIfTrue="1">
      <formula>LEN($D$36)&gt;0</formula>
    </cfRule>
  </conditionalFormatting>
  <conditionalFormatting sqref="I44:N44">
    <cfRule type="expression" dxfId="0" priority="1" stopIfTrue="1">
      <formula>SUM($D$39:$H$42)&gt;400</formula>
    </cfRule>
  </conditionalFormatting>
  <dataValidations count="4">
    <dataValidation type="list" allowBlank="1" showInputMessage="1" showErrorMessage="1" sqref="C43" xr:uid="{00000000-0002-0000-0100-000000000000}">
      <formula1>"Call,Put,Cash,Asset"</formula1>
    </dataValidation>
    <dataValidation type="list" allowBlank="1" showInputMessage="1" showErrorMessage="1" sqref="C39:C42" xr:uid="{00000000-0002-0000-0100-000001000000}">
      <formula1>$V$19:$V$32</formula1>
    </dataValidation>
    <dataValidation type="custom" allowBlank="1" showInputMessage="1" showErrorMessage="1" errorTitle="Barrier error" error="The barrier field must either be empty or must be greater than zero." sqref="E39:E42" xr:uid="{00000000-0002-0000-0100-000002000000}">
      <formula1>OR(LEN(E39)=0,E39&gt;0)</formula1>
    </dataValidation>
    <dataValidation type="custom" allowBlank="1" showInputMessage="1" showErrorMessage="1" errorTitle="Rebate error" error="The rebate field should either be empty or have a number greater than or equal to zero." sqref="F39:F42" xr:uid="{00000000-0002-0000-0100-000003000000}">
      <formula1>OR(LEN(F39)=0,F39&gt;=0)</formula1>
    </dataValidation>
  </dataValidations>
  <hyperlinks>
    <hyperlink ref="G72" r:id="rId1" xr:uid="{00000000-0004-0000-0100-000000000000}"/>
    <hyperlink ref="G72:L72" r:id="rId2" display="www.tykoh.com" xr:uid="{00000000-0004-0000-0100-000001000000}"/>
  </hyperlinks>
  <pageMargins left="0.75" right="0.75" top="1" bottom="1" header="0.5" footer="0.5"/>
  <pageSetup paperSize="9" orientation="landscape"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1027" r:id="rId6" name="Drop Down 3">
              <controlPr defaultSize="0" autoLine="0" autoPict="0">
                <anchor moveWithCells="1">
                  <from>
                    <xdr:col>5</xdr:col>
                    <xdr:colOff>393700</xdr:colOff>
                    <xdr:row>45</xdr:row>
                    <xdr:rowOff>88900</xdr:rowOff>
                  </from>
                  <to>
                    <xdr:col>7</xdr:col>
                    <xdr:colOff>114300</xdr:colOff>
                    <xdr:row>46</xdr:row>
                    <xdr:rowOff>133350</xdr:rowOff>
                  </to>
                </anchor>
              </controlPr>
            </control>
          </mc:Choice>
        </mc:AlternateContent>
        <mc:AlternateContent xmlns:mc="http://schemas.openxmlformats.org/markup-compatibility/2006">
          <mc:Choice Requires="x14">
            <control shapeId="1028" r:id="rId7" name="Drop Down 4">
              <controlPr defaultSize="0" autoLine="0" autoPict="0">
                <anchor moveWithCells="1">
                  <from>
                    <xdr:col>9</xdr:col>
                    <xdr:colOff>184150</xdr:colOff>
                    <xdr:row>45</xdr:row>
                    <xdr:rowOff>95250</xdr:rowOff>
                  </from>
                  <to>
                    <xdr:col>10</xdr:col>
                    <xdr:colOff>304800</xdr:colOff>
                    <xdr:row>46</xdr:row>
                    <xdr:rowOff>133350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14</xdr:col>
                    <xdr:colOff>69850</xdr:colOff>
                    <xdr:row>37</xdr:row>
                    <xdr:rowOff>19050</xdr:rowOff>
                  </from>
                  <to>
                    <xdr:col>14</xdr:col>
                    <xdr:colOff>374650</xdr:colOff>
                    <xdr:row>39</xdr:row>
                    <xdr:rowOff>31750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14</xdr:col>
                    <xdr:colOff>69850</xdr:colOff>
                    <xdr:row>38</xdr:row>
                    <xdr:rowOff>133350</xdr:rowOff>
                  </from>
                  <to>
                    <xdr:col>14</xdr:col>
                    <xdr:colOff>374650</xdr:colOff>
                    <xdr:row>40</xdr:row>
                    <xdr:rowOff>31750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14</xdr:col>
                    <xdr:colOff>69850</xdr:colOff>
                    <xdr:row>39</xdr:row>
                    <xdr:rowOff>133350</xdr:rowOff>
                  </from>
                  <to>
                    <xdr:col>14</xdr:col>
                    <xdr:colOff>374650</xdr:colOff>
                    <xdr:row>41</xdr:row>
                    <xdr:rowOff>31750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14</xdr:col>
                    <xdr:colOff>69850</xdr:colOff>
                    <xdr:row>40</xdr:row>
                    <xdr:rowOff>133350</xdr:rowOff>
                  </from>
                  <to>
                    <xdr:col>14</xdr:col>
                    <xdr:colOff>374650</xdr:colOff>
                    <xdr:row>42</xdr:row>
                    <xdr:rowOff>31750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16</xdr:col>
                    <xdr:colOff>412750</xdr:colOff>
                    <xdr:row>45</xdr:row>
                    <xdr:rowOff>69850</xdr:rowOff>
                  </from>
                  <to>
                    <xdr:col>17</xdr:col>
                    <xdr:colOff>222250</xdr:colOff>
                    <xdr:row>46</xdr:row>
                    <xdr:rowOff>127000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1:N715"/>
  <sheetViews>
    <sheetView showGridLines="0" showRowColHeaders="0" workbookViewId="0"/>
  </sheetViews>
  <sheetFormatPr defaultColWidth="0" defaultRowHeight="12.5" zeroHeight="1"/>
  <cols>
    <col min="1" max="1" width="1.1796875" style="161" customWidth="1"/>
    <col min="2" max="2" width="2.453125" style="161" customWidth="1"/>
    <col min="3" max="3" width="1.453125" style="161" customWidth="1"/>
    <col min="4" max="4" width="3.81640625" style="160" customWidth="1"/>
    <col min="5" max="11" width="9.81640625" style="161" customWidth="1"/>
    <col min="12" max="13" width="9.81640625" style="156" customWidth="1"/>
    <col min="14" max="14" width="2.1796875" style="156" customWidth="1"/>
    <col min="15" max="15" width="1.81640625" style="161" customWidth="1"/>
    <col min="16" max="16384" width="0" style="161" hidden="1"/>
  </cols>
  <sheetData>
    <row r="1" spans="3:14" s="96" customFormat="1" ht="15.5">
      <c r="C1" s="154" t="s">
        <v>142</v>
      </c>
      <c r="D1" s="155"/>
      <c r="L1" s="156"/>
      <c r="M1" s="156"/>
      <c r="N1" s="156"/>
    </row>
    <row r="2" spans="3:14" s="96" customFormat="1">
      <c r="D2" s="155"/>
      <c r="L2" s="156"/>
      <c r="M2" s="156"/>
      <c r="N2" s="156"/>
    </row>
    <row r="3" spans="3:14" s="96" customFormat="1" ht="12.75" customHeight="1">
      <c r="D3" s="155"/>
      <c r="E3" s="224" t="s">
        <v>143</v>
      </c>
      <c r="F3" s="224"/>
      <c r="G3" s="224"/>
      <c r="H3" s="224"/>
      <c r="I3" s="224"/>
      <c r="J3" s="224"/>
      <c r="K3" s="224"/>
      <c r="L3" s="224"/>
      <c r="M3" s="157"/>
      <c r="N3" s="157"/>
    </row>
    <row r="4" spans="3:14" s="96" customFormat="1">
      <c r="D4" s="155"/>
      <c r="E4" s="224"/>
      <c r="F4" s="224"/>
      <c r="G4" s="224"/>
      <c r="H4" s="224"/>
      <c r="I4" s="224"/>
      <c r="J4" s="224"/>
      <c r="K4" s="224"/>
      <c r="L4" s="224"/>
      <c r="M4" s="157"/>
      <c r="N4" s="157"/>
    </row>
    <row r="5" spans="3:14" s="96" customFormat="1">
      <c r="D5" s="155"/>
      <c r="E5" s="224"/>
      <c r="F5" s="224"/>
      <c r="G5" s="224"/>
      <c r="H5" s="224"/>
      <c r="I5" s="224"/>
      <c r="J5" s="224"/>
      <c r="K5" s="224"/>
      <c r="L5" s="224"/>
      <c r="M5" s="157"/>
      <c r="N5" s="157"/>
    </row>
    <row r="6" spans="3:14" s="96" customFormat="1">
      <c r="D6" s="155"/>
      <c r="L6" s="156"/>
      <c r="M6" s="156"/>
      <c r="N6" s="156"/>
    </row>
    <row r="7" spans="3:14" s="96" customFormat="1" ht="15.5">
      <c r="C7" s="154" t="s">
        <v>144</v>
      </c>
      <c r="D7" s="155"/>
      <c r="L7" s="156"/>
      <c r="M7" s="156"/>
      <c r="N7" s="156"/>
    </row>
    <row r="8" spans="3:14" s="96" customFormat="1" ht="15.5">
      <c r="C8" s="154"/>
      <c r="D8" s="155"/>
      <c r="L8" s="156"/>
      <c r="M8" s="156"/>
      <c r="N8" s="156"/>
    </row>
    <row r="9" spans="3:14" s="96" customFormat="1">
      <c r="D9" s="155"/>
      <c r="E9" s="96" t="s">
        <v>145</v>
      </c>
      <c r="L9" s="156"/>
      <c r="M9" s="156"/>
      <c r="N9" s="156"/>
    </row>
    <row r="10" spans="3:14" s="96" customFormat="1">
      <c r="D10" s="155"/>
      <c r="L10" s="156"/>
      <c r="M10" s="156"/>
      <c r="N10" s="156"/>
    </row>
    <row r="11" spans="3:14" s="96" customFormat="1">
      <c r="D11" s="155"/>
      <c r="L11" s="156"/>
      <c r="M11" s="156"/>
      <c r="N11" s="156"/>
    </row>
    <row r="12" spans="3:14" s="96" customFormat="1">
      <c r="D12" s="155"/>
      <c r="L12" s="156"/>
      <c r="M12" s="156"/>
      <c r="N12" s="156"/>
    </row>
    <row r="13" spans="3:14" s="96" customFormat="1">
      <c r="D13" s="155"/>
      <c r="L13" s="156"/>
      <c r="M13" s="156"/>
      <c r="N13" s="156"/>
    </row>
    <row r="14" spans="3:14" s="96" customFormat="1">
      <c r="D14" s="155"/>
      <c r="L14" s="156"/>
      <c r="M14" s="156"/>
      <c r="N14" s="156"/>
    </row>
    <row r="15" spans="3:14" s="96" customFormat="1">
      <c r="D15" s="155"/>
      <c r="L15" s="156"/>
      <c r="M15" s="156"/>
      <c r="N15" s="156"/>
    </row>
    <row r="16" spans="3:14" s="96" customFormat="1">
      <c r="D16" s="155"/>
      <c r="L16" s="156"/>
      <c r="M16" s="156"/>
      <c r="N16" s="156"/>
    </row>
    <row r="17" spans="3:14" s="96" customFormat="1">
      <c r="D17" s="155"/>
      <c r="L17" s="156"/>
      <c r="M17" s="156"/>
      <c r="N17" s="156"/>
    </row>
    <row r="18" spans="3:14" s="96" customFormat="1">
      <c r="D18" s="155"/>
      <c r="L18" s="156"/>
      <c r="M18" s="156"/>
      <c r="N18" s="156"/>
    </row>
    <row r="19" spans="3:14" s="96" customFormat="1">
      <c r="D19" s="155"/>
      <c r="E19" s="96" t="s">
        <v>146</v>
      </c>
      <c r="L19" s="156"/>
      <c r="M19" s="156"/>
      <c r="N19" s="156"/>
    </row>
    <row r="20" spans="3:14" s="96" customFormat="1">
      <c r="D20" s="155"/>
      <c r="L20" s="156"/>
      <c r="M20" s="156"/>
      <c r="N20" s="156"/>
    </row>
    <row r="21" spans="3:14" s="96" customFormat="1">
      <c r="D21" s="155"/>
      <c r="L21" s="156"/>
      <c r="M21" s="156"/>
      <c r="N21" s="156"/>
    </row>
    <row r="22" spans="3:14" s="96" customFormat="1">
      <c r="D22" s="155"/>
      <c r="L22" s="156"/>
      <c r="M22" s="156"/>
      <c r="N22" s="156"/>
    </row>
    <row r="23" spans="3:14" s="96" customFormat="1">
      <c r="D23" s="155"/>
      <c r="L23" s="156"/>
      <c r="M23" s="156"/>
      <c r="N23" s="156"/>
    </row>
    <row r="24" spans="3:14" s="96" customFormat="1">
      <c r="D24" s="155"/>
      <c r="L24" s="156"/>
      <c r="M24" s="156"/>
      <c r="N24" s="156"/>
    </row>
    <row r="25" spans="3:14" s="96" customFormat="1">
      <c r="D25" s="155"/>
      <c r="L25" s="156"/>
      <c r="M25" s="156"/>
      <c r="N25" s="156"/>
    </row>
    <row r="26" spans="3:14" s="96" customFormat="1">
      <c r="D26" s="155"/>
      <c r="L26" s="156"/>
      <c r="M26" s="156"/>
      <c r="N26" s="156"/>
    </row>
    <row r="27" spans="3:14" s="96" customFormat="1">
      <c r="D27" s="155"/>
      <c r="L27" s="156"/>
      <c r="M27" s="156"/>
      <c r="N27" s="156"/>
    </row>
    <row r="28" spans="3:14" s="96" customFormat="1">
      <c r="D28" s="155"/>
      <c r="L28" s="156"/>
      <c r="M28" s="156"/>
      <c r="N28" s="156"/>
    </row>
    <row r="29" spans="3:14" s="96" customFormat="1" ht="15.5">
      <c r="C29" s="154" t="s">
        <v>147</v>
      </c>
      <c r="D29" s="155"/>
      <c r="L29" s="156"/>
      <c r="M29" s="156"/>
      <c r="N29" s="156"/>
    </row>
    <row r="30" spans="3:14" s="96" customFormat="1">
      <c r="D30" s="155"/>
      <c r="L30" s="156"/>
      <c r="M30" s="156"/>
      <c r="N30" s="156"/>
    </row>
    <row r="31" spans="3:14" s="96" customFormat="1">
      <c r="D31" s="155"/>
      <c r="E31" s="96" t="s">
        <v>148</v>
      </c>
      <c r="L31" s="156"/>
      <c r="M31" s="156"/>
      <c r="N31" s="156"/>
    </row>
    <row r="32" spans="3:14" s="96" customFormat="1">
      <c r="D32" s="155"/>
      <c r="L32" s="156"/>
      <c r="M32" s="156"/>
      <c r="N32" s="156"/>
    </row>
    <row r="33" spans="4:14" s="96" customFormat="1" ht="13">
      <c r="D33" s="158" t="s">
        <v>149</v>
      </c>
      <c r="L33" s="156"/>
      <c r="M33" s="156"/>
      <c r="N33" s="156"/>
    </row>
    <row r="34" spans="4:14" s="96" customFormat="1">
      <c r="D34" s="155"/>
      <c r="E34" s="96" t="s">
        <v>150</v>
      </c>
      <c r="L34" s="156"/>
      <c r="M34" s="156"/>
      <c r="N34" s="156"/>
    </row>
    <row r="35" spans="4:14" s="96" customFormat="1" ht="12.75" customHeight="1">
      <c r="D35" s="155"/>
      <c r="E35" s="224" t="s">
        <v>151</v>
      </c>
      <c r="F35" s="224"/>
      <c r="G35" s="224"/>
      <c r="H35" s="224"/>
      <c r="I35" s="224"/>
      <c r="J35" s="224"/>
      <c r="K35" s="224"/>
      <c r="L35" s="224"/>
      <c r="M35" s="157"/>
      <c r="N35" s="157"/>
    </row>
    <row r="36" spans="4:14" s="96" customFormat="1">
      <c r="D36" s="155"/>
      <c r="E36" s="224"/>
      <c r="F36" s="224"/>
      <c r="G36" s="224"/>
      <c r="H36" s="224"/>
      <c r="I36" s="224"/>
      <c r="J36" s="224"/>
      <c r="K36" s="224"/>
      <c r="L36" s="224"/>
      <c r="M36" s="157"/>
      <c r="N36" s="157"/>
    </row>
    <row r="37" spans="4:14" s="96" customFormat="1">
      <c r="D37" s="155"/>
      <c r="L37" s="156"/>
      <c r="M37" s="156"/>
      <c r="N37" s="156"/>
    </row>
    <row r="38" spans="4:14" s="96" customFormat="1" ht="13">
      <c r="D38" s="158" t="s">
        <v>72</v>
      </c>
      <c r="L38" s="156"/>
      <c r="M38" s="156"/>
      <c r="N38" s="156"/>
    </row>
    <row r="39" spans="4:14" s="96" customFormat="1" ht="12.75" customHeight="1">
      <c r="D39" s="155"/>
      <c r="E39" s="224" t="s">
        <v>152</v>
      </c>
      <c r="F39" s="224"/>
      <c r="G39" s="224"/>
      <c r="H39" s="224"/>
      <c r="I39" s="224"/>
      <c r="J39" s="224"/>
      <c r="K39" s="224"/>
      <c r="L39" s="224"/>
      <c r="M39" s="157"/>
      <c r="N39" s="157"/>
    </row>
    <row r="40" spans="4:14" s="96" customFormat="1">
      <c r="D40" s="155"/>
      <c r="E40" s="224"/>
      <c r="F40" s="224"/>
      <c r="G40" s="224"/>
      <c r="H40" s="224"/>
      <c r="I40" s="224"/>
      <c r="J40" s="224"/>
      <c r="K40" s="224"/>
      <c r="L40" s="224"/>
      <c r="M40" s="157"/>
      <c r="N40" s="157"/>
    </row>
    <row r="41" spans="4:14" s="96" customFormat="1">
      <c r="D41" s="155"/>
      <c r="L41" s="156"/>
      <c r="M41" s="156"/>
      <c r="N41" s="156"/>
    </row>
    <row r="42" spans="4:14" s="96" customFormat="1" ht="13">
      <c r="D42" s="158" t="s">
        <v>74</v>
      </c>
      <c r="L42" s="156"/>
      <c r="M42" s="156"/>
      <c r="N42" s="156"/>
    </row>
    <row r="43" spans="4:14" s="96" customFormat="1" ht="12.75" customHeight="1">
      <c r="D43" s="155"/>
      <c r="E43" s="223" t="s">
        <v>153</v>
      </c>
      <c r="F43" s="223"/>
      <c r="G43" s="223"/>
      <c r="H43" s="223"/>
      <c r="I43" s="223"/>
      <c r="J43" s="223"/>
      <c r="K43" s="223"/>
      <c r="L43" s="223"/>
      <c r="M43" s="159"/>
      <c r="N43" s="159"/>
    </row>
    <row r="44" spans="4:14" s="96" customFormat="1">
      <c r="D44" s="155"/>
      <c r="E44" s="223"/>
      <c r="F44" s="223"/>
      <c r="G44" s="223"/>
      <c r="H44" s="223"/>
      <c r="I44" s="223"/>
      <c r="J44" s="223"/>
      <c r="K44" s="223"/>
      <c r="L44" s="223"/>
      <c r="M44" s="159"/>
      <c r="N44" s="159"/>
    </row>
    <row r="45" spans="4:14" s="96" customFormat="1">
      <c r="D45" s="155"/>
      <c r="L45" s="156"/>
      <c r="M45" s="156"/>
      <c r="N45" s="156"/>
    </row>
    <row r="46" spans="4:14" s="96" customFormat="1" ht="13">
      <c r="D46" s="158" t="s">
        <v>154</v>
      </c>
      <c r="L46" s="156"/>
      <c r="M46" s="156"/>
      <c r="N46" s="156"/>
    </row>
    <row r="47" spans="4:14" s="96" customFormat="1" ht="12.75" customHeight="1">
      <c r="D47" s="155"/>
      <c r="E47" s="223" t="s">
        <v>155</v>
      </c>
      <c r="F47" s="223"/>
      <c r="G47" s="223"/>
      <c r="H47" s="223"/>
      <c r="I47" s="223"/>
      <c r="J47" s="223"/>
      <c r="K47" s="223"/>
      <c r="L47" s="223"/>
      <c r="M47" s="156"/>
      <c r="N47" s="156"/>
    </row>
    <row r="48" spans="4:14" s="96" customFormat="1">
      <c r="D48" s="155"/>
      <c r="E48" s="223"/>
      <c r="F48" s="223"/>
      <c r="G48" s="223"/>
      <c r="H48" s="223"/>
      <c r="I48" s="223"/>
      <c r="J48" s="223"/>
      <c r="K48" s="223"/>
      <c r="L48" s="223"/>
      <c r="M48" s="156"/>
      <c r="N48" s="156"/>
    </row>
    <row r="49" spans="3:14" s="96" customFormat="1">
      <c r="D49" s="155"/>
      <c r="L49" s="156"/>
      <c r="M49" s="156"/>
      <c r="N49" s="156"/>
    </row>
    <row r="50" spans="3:14" s="96" customFormat="1" ht="12.75" customHeight="1">
      <c r="D50" s="155"/>
      <c r="E50" s="224" t="s">
        <v>156</v>
      </c>
      <c r="F50" s="224"/>
      <c r="G50" s="224"/>
      <c r="H50" s="224"/>
      <c r="I50" s="224"/>
      <c r="J50" s="224"/>
      <c r="K50" s="224"/>
      <c r="L50" s="224"/>
      <c r="M50" s="156"/>
      <c r="N50" s="156"/>
    </row>
    <row r="51" spans="3:14" s="96" customFormat="1">
      <c r="D51" s="155"/>
      <c r="E51" s="224"/>
      <c r="F51" s="224"/>
      <c r="G51" s="224"/>
      <c r="H51" s="224"/>
      <c r="I51" s="224"/>
      <c r="J51" s="224"/>
      <c r="K51" s="224"/>
      <c r="L51" s="224"/>
      <c r="M51" s="156"/>
      <c r="N51" s="156"/>
    </row>
    <row r="52" spans="3:14" s="96" customFormat="1">
      <c r="D52" s="155"/>
      <c r="E52" s="224"/>
      <c r="F52" s="224"/>
      <c r="G52" s="224"/>
      <c r="H52" s="224"/>
      <c r="I52" s="224"/>
      <c r="J52" s="224"/>
      <c r="K52" s="224"/>
      <c r="L52" s="224"/>
      <c r="M52" s="156"/>
      <c r="N52" s="156"/>
    </row>
    <row r="53" spans="3:14" s="96" customFormat="1">
      <c r="D53" s="155"/>
      <c r="L53" s="156"/>
      <c r="M53" s="156"/>
      <c r="N53" s="156"/>
    </row>
    <row r="54" spans="3:14" s="96" customFormat="1" ht="13">
      <c r="D54" s="158" t="s">
        <v>157</v>
      </c>
      <c r="L54" s="156"/>
      <c r="M54" s="156"/>
      <c r="N54" s="156"/>
    </row>
    <row r="55" spans="3:14" s="96" customFormat="1" ht="12.75" customHeight="1">
      <c r="D55" s="155"/>
      <c r="E55" s="223" t="s">
        <v>158</v>
      </c>
      <c r="F55" s="223"/>
      <c r="G55" s="223"/>
      <c r="H55" s="223"/>
      <c r="I55" s="223"/>
      <c r="J55" s="223"/>
      <c r="K55" s="223"/>
      <c r="L55" s="223"/>
      <c r="M55" s="156"/>
      <c r="N55" s="156"/>
    </row>
    <row r="56" spans="3:14" s="96" customFormat="1">
      <c r="D56" s="155"/>
      <c r="E56" s="223"/>
      <c r="F56" s="223"/>
      <c r="G56" s="223"/>
      <c r="H56" s="223"/>
      <c r="I56" s="223"/>
      <c r="J56" s="223"/>
      <c r="K56" s="223"/>
      <c r="L56" s="223"/>
      <c r="M56" s="156"/>
      <c r="N56" s="156"/>
    </row>
    <row r="57" spans="3:14" s="96" customFormat="1">
      <c r="D57" s="155"/>
      <c r="E57" s="223"/>
      <c r="F57" s="223"/>
      <c r="G57" s="223"/>
      <c r="H57" s="223"/>
      <c r="I57" s="223"/>
      <c r="J57" s="223"/>
      <c r="K57" s="223"/>
      <c r="L57" s="223"/>
      <c r="M57" s="156"/>
      <c r="N57" s="156"/>
    </row>
    <row r="58" spans="3:14" s="96" customFormat="1">
      <c r="D58" s="155"/>
      <c r="E58" s="159"/>
      <c r="F58" s="159"/>
      <c r="G58" s="159"/>
      <c r="H58" s="159"/>
      <c r="I58" s="159"/>
      <c r="J58" s="159"/>
      <c r="K58" s="159"/>
      <c r="L58" s="159"/>
      <c r="M58" s="156"/>
      <c r="N58" s="156"/>
    </row>
    <row r="59" spans="3:14" s="96" customFormat="1" ht="13">
      <c r="D59" s="158" t="s">
        <v>159</v>
      </c>
      <c r="L59" s="156"/>
      <c r="M59" s="156"/>
      <c r="N59" s="156"/>
    </row>
    <row r="60" spans="3:14" s="96" customFormat="1" ht="12.75" customHeight="1">
      <c r="D60" s="155"/>
      <c r="E60" s="224" t="s">
        <v>160</v>
      </c>
      <c r="F60" s="224"/>
      <c r="G60" s="224"/>
      <c r="H60" s="224"/>
      <c r="I60" s="224"/>
      <c r="J60" s="224"/>
      <c r="K60" s="224"/>
      <c r="L60" s="224"/>
      <c r="M60" s="156"/>
      <c r="N60" s="156"/>
    </row>
    <row r="61" spans="3:14" s="96" customFormat="1">
      <c r="D61" s="155"/>
      <c r="E61" s="224"/>
      <c r="F61" s="224"/>
      <c r="G61" s="224"/>
      <c r="H61" s="224"/>
      <c r="I61" s="224"/>
      <c r="J61" s="224"/>
      <c r="K61" s="224"/>
      <c r="L61" s="224"/>
      <c r="M61" s="156"/>
      <c r="N61" s="156"/>
    </row>
    <row r="62" spans="3:14" s="96" customFormat="1">
      <c r="D62" s="155"/>
      <c r="E62" s="224"/>
      <c r="F62" s="224"/>
      <c r="G62" s="224"/>
      <c r="H62" s="224"/>
      <c r="I62" s="224"/>
      <c r="J62" s="224"/>
      <c r="K62" s="224"/>
      <c r="L62" s="224"/>
      <c r="M62" s="156"/>
      <c r="N62" s="156"/>
    </row>
    <row r="63" spans="3:14" s="96" customFormat="1">
      <c r="D63" s="155"/>
      <c r="L63" s="156"/>
      <c r="M63" s="156"/>
      <c r="N63" s="156"/>
    </row>
    <row r="64" spans="3:14" s="96" customFormat="1" ht="15.5">
      <c r="C64" s="154" t="s">
        <v>161</v>
      </c>
      <c r="D64" s="155"/>
      <c r="L64" s="156"/>
      <c r="M64" s="156"/>
      <c r="N64" s="156"/>
    </row>
    <row r="65" spans="3:14" s="96" customFormat="1" ht="12.75" customHeight="1">
      <c r="D65" s="155"/>
      <c r="E65" s="223" t="s">
        <v>162</v>
      </c>
      <c r="F65" s="223"/>
      <c r="G65" s="223"/>
      <c r="H65" s="223"/>
      <c r="I65" s="223"/>
      <c r="J65" s="223"/>
      <c r="K65" s="223"/>
      <c r="L65" s="223"/>
      <c r="M65" s="156"/>
      <c r="N65" s="156"/>
    </row>
    <row r="66" spans="3:14" s="96" customFormat="1">
      <c r="D66" s="155"/>
      <c r="E66" s="223"/>
      <c r="F66" s="223"/>
      <c r="G66" s="223"/>
      <c r="H66" s="223"/>
      <c r="I66" s="223"/>
      <c r="J66" s="223"/>
      <c r="K66" s="223"/>
      <c r="L66" s="223"/>
      <c r="M66" s="156"/>
      <c r="N66" s="156"/>
    </row>
    <row r="67" spans="3:14" s="96" customFormat="1">
      <c r="D67" s="155"/>
      <c r="L67" s="156"/>
      <c r="M67" s="156"/>
      <c r="N67" s="156"/>
    </row>
    <row r="68" spans="3:14" ht="15.5">
      <c r="C68" s="154" t="s">
        <v>163</v>
      </c>
    </row>
    <row r="69" spans="3:14" ht="13">
      <c r="D69" s="162"/>
    </row>
    <row r="70" spans="3:14" ht="13">
      <c r="D70" s="158" t="s">
        <v>164</v>
      </c>
      <c r="E70" s="163"/>
      <c r="F70" s="163"/>
      <c r="G70" s="163"/>
      <c r="H70" s="163"/>
      <c r="I70" s="163"/>
      <c r="J70" s="163"/>
      <c r="K70" s="163"/>
      <c r="L70" s="163"/>
      <c r="M70" s="163"/>
      <c r="N70" s="163"/>
    </row>
    <row r="71" spans="3:14" ht="12.75" customHeight="1">
      <c r="E71" s="229" t="s">
        <v>165</v>
      </c>
      <c r="F71" s="229"/>
      <c r="G71" s="229"/>
      <c r="H71" s="229"/>
      <c r="I71" s="229"/>
      <c r="J71" s="229"/>
      <c r="K71" s="229"/>
      <c r="L71" s="229"/>
    </row>
    <row r="72" spans="3:14">
      <c r="D72" s="164"/>
      <c r="E72" s="229"/>
      <c r="F72" s="229"/>
      <c r="G72" s="229"/>
      <c r="H72" s="229"/>
      <c r="I72" s="229"/>
      <c r="J72" s="229"/>
      <c r="K72" s="229"/>
      <c r="L72" s="229"/>
    </row>
    <row r="73" spans="3:14"/>
    <row r="74" spans="3:14" ht="12.75" customHeight="1">
      <c r="E74" s="228" t="s">
        <v>185</v>
      </c>
      <c r="F74" s="229"/>
      <c r="G74" s="229"/>
      <c r="H74" s="229"/>
      <c r="I74" s="229"/>
      <c r="J74" s="229"/>
      <c r="K74" s="229"/>
      <c r="L74" s="229"/>
    </row>
    <row r="75" spans="3:14">
      <c r="E75" s="229"/>
      <c r="F75" s="229"/>
      <c r="G75" s="229"/>
      <c r="H75" s="229"/>
      <c r="I75" s="229"/>
      <c r="J75" s="229"/>
      <c r="K75" s="229"/>
      <c r="L75" s="229"/>
    </row>
    <row r="76" spans="3:14">
      <c r="E76" s="229"/>
      <c r="F76" s="229"/>
      <c r="G76" s="229"/>
      <c r="H76" s="229"/>
      <c r="I76" s="229"/>
      <c r="J76" s="229"/>
      <c r="K76" s="229"/>
      <c r="L76" s="229"/>
    </row>
    <row r="77" spans="3:14">
      <c r="E77" s="229"/>
      <c r="F77" s="229"/>
      <c r="G77" s="229"/>
      <c r="H77" s="229"/>
      <c r="I77" s="229"/>
      <c r="J77" s="229"/>
      <c r="K77" s="229"/>
      <c r="L77" s="229"/>
    </row>
    <row r="78" spans="3:14">
      <c r="E78" s="229"/>
      <c r="F78" s="229"/>
      <c r="G78" s="229"/>
      <c r="H78" s="229"/>
      <c r="I78" s="229"/>
      <c r="J78" s="229"/>
      <c r="K78" s="229"/>
      <c r="L78" s="229"/>
    </row>
    <row r="79" spans="3:14"/>
    <row r="80" spans="3:14" ht="12.75" customHeight="1">
      <c r="E80" s="225" t="str">
        <f>Introduction!C15</f>
        <v xml:space="preserve">Disclaimer:  This spreadsheet is for educational purposes only and should not be used for pricing or risk management purposes.  Tykoh Group ("Tykoh") disclaims all warranties of quality, accuracy, correctness, or fitness for a particular purpose. The user assumes the entire risk as to the quality , accuracy and correctness of this work.  The user assumes the entire risk as to consequences of any actions user may take or not take as a result  of anything in this work.  In no event will Tykoh be liable for any indirect, special, or consequential damages. </v>
      </c>
      <c r="F80" s="226"/>
      <c r="G80" s="226"/>
      <c r="H80" s="226"/>
      <c r="I80" s="226"/>
      <c r="J80" s="226"/>
      <c r="K80" s="226"/>
      <c r="L80" s="226"/>
      <c r="M80" s="226"/>
      <c r="N80" s="165"/>
    </row>
    <row r="81" spans="3:14">
      <c r="E81" s="226"/>
      <c r="F81" s="226"/>
      <c r="G81" s="226"/>
      <c r="H81" s="226"/>
      <c r="I81" s="226"/>
      <c r="J81" s="226"/>
      <c r="K81" s="226"/>
      <c r="L81" s="226"/>
      <c r="M81" s="226"/>
    </row>
    <row r="82" spans="3:14" ht="30" customHeight="1">
      <c r="C82" s="166"/>
      <c r="E82" s="226"/>
      <c r="F82" s="226"/>
      <c r="G82" s="226"/>
      <c r="H82" s="226"/>
      <c r="I82" s="226"/>
      <c r="J82" s="226"/>
      <c r="K82" s="226"/>
      <c r="L82" s="226"/>
      <c r="M82" s="226"/>
    </row>
    <row r="83" spans="3:14">
      <c r="C83" s="163"/>
      <c r="D83" s="163"/>
      <c r="E83" s="163"/>
      <c r="F83" s="163"/>
      <c r="G83" s="163"/>
      <c r="H83" s="163"/>
      <c r="I83" s="163"/>
      <c r="J83" s="163"/>
      <c r="K83" s="163"/>
      <c r="L83" s="163"/>
      <c r="M83" s="163"/>
      <c r="N83" s="163"/>
    </row>
    <row r="84" spans="3:14" hidden="1">
      <c r="C84" s="163"/>
      <c r="D84" s="163"/>
      <c r="E84" s="163"/>
      <c r="F84" s="163"/>
      <c r="G84" s="163"/>
      <c r="H84" s="163"/>
      <c r="I84" s="163"/>
      <c r="J84" s="163"/>
      <c r="K84" s="163"/>
      <c r="L84" s="163"/>
      <c r="M84" s="163"/>
      <c r="N84" s="163"/>
    </row>
    <row r="85" spans="3:14" hidden="1">
      <c r="C85" s="163"/>
      <c r="D85" s="163"/>
      <c r="E85" s="163"/>
      <c r="F85" s="163"/>
      <c r="G85" s="163"/>
      <c r="H85" s="163"/>
      <c r="I85" s="163"/>
      <c r="J85" s="163"/>
      <c r="K85" s="163"/>
      <c r="L85" s="163"/>
      <c r="M85" s="163"/>
      <c r="N85" s="163"/>
    </row>
    <row r="89" spans="3:14" ht="13" hidden="1">
      <c r="C89" s="166"/>
    </row>
    <row r="103" spans="3:4" ht="13" hidden="1">
      <c r="C103" s="167"/>
      <c r="D103" s="168"/>
    </row>
    <row r="110" spans="3:4" ht="13" hidden="1">
      <c r="C110" s="166"/>
      <c r="D110" s="169"/>
    </row>
    <row r="714" spans="7:11">
      <c r="G714" s="227" t="s">
        <v>0</v>
      </c>
      <c r="H714" s="227"/>
      <c r="I714" s="227"/>
      <c r="J714" s="227"/>
      <c r="K714" s="227"/>
    </row>
    <row r="715" spans="7:11"/>
  </sheetData>
  <sheetProtection algorithmName="SHA-512" hashValue="zc7M0lEH/oUs/OepVlrkzRlgyqDgEIApduthbvnQpDqd6v4t/iQaGGs+s8Ijqb7FXntjBtpGbrGQo/YCCO5J3w==" saltValue="9JR6mW1vqbBI0c5seyK+3w==" spinCount="100000" sheet="1" objects="1" scenarios="1"/>
  <mergeCells count="13">
    <mergeCell ref="E80:M82"/>
    <mergeCell ref="G714:K714"/>
    <mergeCell ref="E55:L57"/>
    <mergeCell ref="E60:L62"/>
    <mergeCell ref="E74:L78"/>
    <mergeCell ref="E71:L72"/>
    <mergeCell ref="E65:L66"/>
    <mergeCell ref="E47:L48"/>
    <mergeCell ref="E50:L52"/>
    <mergeCell ref="E3:L5"/>
    <mergeCell ref="E35:L36"/>
    <mergeCell ref="E39:L40"/>
    <mergeCell ref="E43:L44"/>
  </mergeCells>
  <phoneticPr fontId="27" type="noConversion"/>
  <hyperlinks>
    <hyperlink ref="G714" r:id="rId1" xr:uid="{00000000-0004-0000-0200-000000000000}"/>
    <hyperlink ref="G714:K714" r:id="rId2" display="www.tykoh.com" xr:uid="{00000000-0004-0000-0200-000001000000}"/>
  </hyperlinks>
  <pageMargins left="0.75" right="0.75" top="1" bottom="1" header="0.5" footer="0.5"/>
  <pageSetup paperSize="9"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F300B-03BC-4333-AB6F-C166FEEA0C4E}">
  <dimension ref="A1:B1"/>
  <sheetViews>
    <sheetView workbookViewId="0">
      <selection activeCell="B2" sqref="B2"/>
    </sheetView>
  </sheetViews>
  <sheetFormatPr defaultRowHeight="12.5"/>
  <cols>
    <col min="2" max="2" width="11.54296875" bestFit="1" customWidth="1"/>
  </cols>
  <sheetData>
    <row r="1" spans="1:2">
      <c r="A1" s="185" t="s">
        <v>184</v>
      </c>
      <c r="B1">
        <v>-1000000000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K47"/>
  <sheetViews>
    <sheetView workbookViewId="0">
      <selection activeCell="B13" sqref="B13:G13"/>
    </sheetView>
  </sheetViews>
  <sheetFormatPr defaultRowHeight="12.5"/>
  <sheetData>
    <row r="1" spans="1:245">
      <c r="A1" s="2"/>
      <c r="B1" s="2" t="s">
        <v>137</v>
      </c>
      <c r="C1" s="2"/>
      <c r="D1" s="2"/>
      <c r="E1" s="2" t="s">
        <v>138</v>
      </c>
      <c r="F1" s="2"/>
      <c r="G1" s="2"/>
      <c r="H1" s="2" t="s">
        <v>139</v>
      </c>
      <c r="I1" s="2"/>
      <c r="J1" s="2"/>
      <c r="K1" s="2" t="s">
        <v>140</v>
      </c>
      <c r="L1" s="2"/>
      <c r="M1" s="2"/>
      <c r="N1" s="2" t="s">
        <v>141</v>
      </c>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row>
    <row r="2" spans="1:245">
      <c r="A2" s="9"/>
      <c r="B2" s="9"/>
      <c r="C2" s="2"/>
      <c r="D2" s="9"/>
      <c r="E2" s="9"/>
      <c r="F2" s="2"/>
      <c r="G2" s="9"/>
      <c r="H2" s="9"/>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row>
    <row r="3" spans="1:245">
      <c r="A3" s="9">
        <f>IF(main!$P$39,main!F85,main!$F$85)</f>
        <v>39.999999999999922</v>
      </c>
      <c r="B3" s="9">
        <f>IF(main!$P$39,main!G85,0)</f>
        <v>5.9193968888194559E-3</v>
      </c>
      <c r="C3" s="2"/>
      <c r="D3" s="9">
        <f>IF(main!$P$40,main!F85,main!$F$85)</f>
        <v>39.999999999999922</v>
      </c>
      <c r="E3" s="9">
        <f>IF(main!$P$40,main!H85,0)</f>
        <v>0</v>
      </c>
      <c r="F3" s="2"/>
      <c r="G3" s="9">
        <f>IF(main!$P$41,main!F85,main!$F$85)</f>
        <v>39.999999999999922</v>
      </c>
      <c r="H3" s="9">
        <f>IF(main!$P$41,main!I85,0)</f>
        <v>0</v>
      </c>
      <c r="I3" s="2"/>
      <c r="J3" s="9">
        <f>IF(main!$P$42,main!F85,main!$F$85)</f>
        <v>39.999999999999922</v>
      </c>
      <c r="K3" s="9">
        <f>IF(main!$P$42,main!J85,0)</f>
        <v>300.00011042793199</v>
      </c>
      <c r="L3" s="2"/>
      <c r="M3" s="9">
        <f>IF(main!$P$44,main!F85,main!$F$85)</f>
        <v>39.999999999999922</v>
      </c>
      <c r="N3" s="9">
        <f>IF(main!$P$44,SUMPRODUCT(main!G85:J85*main!$G$83:$J$83),0)</f>
        <v>300.00602982482081</v>
      </c>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row>
    <row r="4" spans="1:245">
      <c r="A4" s="9">
        <f>IF(main!$P$39,main!F86,main!$F$85)</f>
        <v>42.727272727272648</v>
      </c>
      <c r="B4" s="9">
        <f>IF(main!$P$39,main!G86,0)</f>
        <v>1.316090023878505E-2</v>
      </c>
      <c r="C4" s="2"/>
      <c r="D4" s="9">
        <f>IF(main!$P$40,main!F86,main!$F$85)</f>
        <v>39.999999999999922</v>
      </c>
      <c r="E4" s="9">
        <f>IF(main!$P$40,main!H86,0)</f>
        <v>0</v>
      </c>
      <c r="F4" s="2"/>
      <c r="G4" s="9">
        <f>IF(main!$P$41,main!F86,main!$F$85)</f>
        <v>39.999999999999922</v>
      </c>
      <c r="H4" s="9">
        <f>IF(main!$P$41,main!I86,0)</f>
        <v>0</v>
      </c>
      <c r="I4" s="2"/>
      <c r="J4" s="9">
        <f>IF(main!$P$42,main!F86,main!$F$85)</f>
        <v>42.727272727272648</v>
      </c>
      <c r="K4" s="9">
        <f>IF(main!$P$42,main!J86,0)</f>
        <v>286.3641109689035</v>
      </c>
      <c r="L4" s="2"/>
      <c r="M4" s="9">
        <f>IF(main!$P$44,main!F86,main!$F$85)</f>
        <v>42.727272727272648</v>
      </c>
      <c r="N4" s="9">
        <f>IF(main!$P$44,SUMPRODUCT(main!G86:J86*main!$G$83:$J$83),0)</f>
        <v>286.37727186914231</v>
      </c>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row>
    <row r="5" spans="1:245">
      <c r="A5" s="9">
        <f>IF(main!$P$39,main!F87,main!$F$85)</f>
        <v>45.454545454545375</v>
      </c>
      <c r="B5" s="9">
        <f>IF(main!$P$39,main!G87,0)</f>
        <v>2.6802243589888253E-2</v>
      </c>
      <c r="C5" s="2"/>
      <c r="D5" s="9">
        <f>IF(main!$P$40,main!F87,main!$F$85)</f>
        <v>39.999999999999922</v>
      </c>
      <c r="E5" s="9">
        <f>IF(main!$P$40,main!H87,0)</f>
        <v>0</v>
      </c>
      <c r="F5" s="2"/>
      <c r="G5" s="9">
        <f>IF(main!$P$41,main!F87,main!$F$85)</f>
        <v>39.999999999999922</v>
      </c>
      <c r="H5" s="9">
        <f>IF(main!$P$41,main!I87,0)</f>
        <v>0</v>
      </c>
      <c r="I5" s="2"/>
      <c r="J5" s="9">
        <f>IF(main!$P$42,main!F87,main!$F$85)</f>
        <v>45.454545454545375</v>
      </c>
      <c r="K5" s="9">
        <f>IF(main!$P$42,main!J87,0)</f>
        <v>272.7289921462035</v>
      </c>
      <c r="L5" s="2"/>
      <c r="M5" s="9">
        <f>IF(main!$P$44,main!F87,main!$F$85)</f>
        <v>45.454545454545375</v>
      </c>
      <c r="N5" s="9">
        <f>IF(main!$P$44,SUMPRODUCT(main!G87:J87*main!$G$83:$J$83),0)</f>
        <v>272.75579438979338</v>
      </c>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row>
    <row r="6" spans="1:245">
      <c r="A6" s="9">
        <f>IF(main!$P$39,main!F88,main!$F$85)</f>
        <v>48.181818181818102</v>
      </c>
      <c r="B6" s="9">
        <f>IF(main!$P$39,main!G88,0)</f>
        <v>5.0641546769823742E-2</v>
      </c>
      <c r="C6" s="2"/>
      <c r="D6" s="9">
        <f>IF(main!$P$40,main!F88,main!$F$85)</f>
        <v>39.999999999999922</v>
      </c>
      <c r="E6" s="9">
        <f>IF(main!$P$40,main!H88,0)</f>
        <v>0</v>
      </c>
      <c r="F6" s="2"/>
      <c r="G6" s="9">
        <f>IF(main!$P$41,main!F88,main!$F$85)</f>
        <v>39.999999999999922</v>
      </c>
      <c r="H6" s="9">
        <f>IF(main!$P$41,main!I88,0)</f>
        <v>0</v>
      </c>
      <c r="I6" s="2"/>
      <c r="J6" s="9">
        <f>IF(main!$P$42,main!F88,main!$F$85)</f>
        <v>48.181818181818102</v>
      </c>
      <c r="K6" s="9">
        <f>IF(main!$P$42,main!J88,0)</f>
        <v>259.09629379996636</v>
      </c>
      <c r="L6" s="2"/>
      <c r="M6" s="9">
        <f>IF(main!$P$44,main!F88,main!$F$85)</f>
        <v>48.181818181818102</v>
      </c>
      <c r="N6" s="9">
        <f>IF(main!$P$44,SUMPRODUCT(main!G88:J88*main!$G$83:$J$83),0)</f>
        <v>259.1469353467362</v>
      </c>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row>
    <row r="7" spans="1:245">
      <c r="A7" s="9">
        <f>IF(main!$P$39,main!F89,main!$F$85)</f>
        <v>50.909090909090828</v>
      </c>
      <c r="B7" s="9">
        <f>IF(main!$P$39,main!G89,0)</f>
        <v>8.9707879785910882E-2</v>
      </c>
      <c r="C7" s="2"/>
      <c r="D7" s="9">
        <f>IF(main!$P$40,main!F89,main!$F$85)</f>
        <v>39.999999999999922</v>
      </c>
      <c r="E7" s="9">
        <f>IF(main!$P$40,main!H89,0)</f>
        <v>0</v>
      </c>
      <c r="F7" s="2"/>
      <c r="G7" s="9">
        <f>IF(main!$P$41,main!F89,main!$F$85)</f>
        <v>39.999999999999922</v>
      </c>
      <c r="H7" s="9">
        <f>IF(main!$P$41,main!I89,0)</f>
        <v>0</v>
      </c>
      <c r="I7" s="2"/>
      <c r="J7" s="9">
        <f>IF(main!$P$42,main!F89,main!$F$85)</f>
        <v>50.909090909090828</v>
      </c>
      <c r="K7" s="9">
        <f>IF(main!$P$42,main!J89,0)</f>
        <v>245.46942459942102</v>
      </c>
      <c r="L7" s="2"/>
      <c r="M7" s="9">
        <f>IF(main!$P$44,main!F89,main!$F$85)</f>
        <v>50.909090909090828</v>
      </c>
      <c r="N7" s="9">
        <f>IF(main!$P$44,SUMPRODUCT(main!G89:J89*main!$G$83:$J$83),0)</f>
        <v>245.55913247920694</v>
      </c>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row>
    <row r="8" spans="1:245">
      <c r="A8" s="9">
        <f>IF(main!$P$39,main!F90,main!$F$85)</f>
        <v>53.636363636363555</v>
      </c>
      <c r="B8" s="9">
        <f>IF(main!$P$39,main!G90,0)</f>
        <v>0.15027197802017245</v>
      </c>
      <c r="C8" s="2"/>
      <c r="D8" s="9">
        <f>IF(main!$P$40,main!F90,main!$F$85)</f>
        <v>39.999999999999922</v>
      </c>
      <c r="E8" s="9">
        <f>IF(main!$P$40,main!H90,0)</f>
        <v>0</v>
      </c>
      <c r="F8" s="2"/>
      <c r="G8" s="9">
        <f>IF(main!$P$41,main!F90,main!$F$85)</f>
        <v>39.999999999999922</v>
      </c>
      <c r="H8" s="9">
        <f>IF(main!$P$41,main!I90,0)</f>
        <v>0</v>
      </c>
      <c r="I8" s="2"/>
      <c r="J8" s="9">
        <f>IF(main!$P$42,main!F90,main!$F$85)</f>
        <v>53.636363636363555</v>
      </c>
      <c r="K8" s="9">
        <f>IF(main!$P$42,main!J90,0)</f>
        <v>231.85507621806775</v>
      </c>
      <c r="L8" s="2"/>
      <c r="M8" s="9">
        <f>IF(main!$P$44,main!F90,main!$F$85)</f>
        <v>53.636363636363555</v>
      </c>
      <c r="N8" s="9">
        <f>IF(main!$P$44,SUMPRODUCT(main!G90:J90*main!$G$83:$J$83),0)</f>
        <v>232.00534819608794</v>
      </c>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row>
    <row r="9" spans="1:245">
      <c r="A9" s="9">
        <f>IF(main!$P$39,main!F91,main!$F$85)</f>
        <v>56.363636363636282</v>
      </c>
      <c r="B9" s="9">
        <f>IF(main!$P$39,main!G91,0)</f>
        <v>0.23974846075125011</v>
      </c>
      <c r="C9" s="2"/>
      <c r="D9" s="9">
        <f>IF(main!$P$40,main!F91,main!$F$85)</f>
        <v>39.999999999999922</v>
      </c>
      <c r="E9" s="9">
        <f>IF(main!$P$40,main!H91,0)</f>
        <v>0</v>
      </c>
      <c r="F9" s="2"/>
      <c r="G9" s="9">
        <f>IF(main!$P$41,main!F91,main!$F$85)</f>
        <v>39.999999999999922</v>
      </c>
      <c r="H9" s="9">
        <f>IF(main!$P$41,main!I91,0)</f>
        <v>0</v>
      </c>
      <c r="I9" s="2"/>
      <c r="J9" s="9">
        <f>IF(main!$P$42,main!F91,main!$F$85)</f>
        <v>56.363636363636282</v>
      </c>
      <c r="K9" s="9">
        <f>IF(main!$P$42,main!J91,0)</f>
        <v>218.26507269077769</v>
      </c>
      <c r="L9" s="2"/>
      <c r="M9" s="9">
        <f>IF(main!$P$44,main!F91,main!$F$85)</f>
        <v>56.363636363636282</v>
      </c>
      <c r="N9" s="9">
        <f>IF(main!$P$44,SUMPRODUCT(main!G91:J91*main!$G$83:$J$83),0)</f>
        <v>218.50482115152894</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row>
    <row r="10" spans="1:245">
      <c r="A10" s="9">
        <f>IF(main!$P$39,main!F92,main!$F$85)</f>
        <v>59.090909090909008</v>
      </c>
      <c r="B10" s="9">
        <f>IF(main!$P$39,main!G92,0)</f>
        <v>0.36649701453403738</v>
      </c>
      <c r="C10" s="2"/>
      <c r="D10" s="9">
        <f>IF(main!$P$40,main!F92,main!$F$85)</f>
        <v>39.999999999999922</v>
      </c>
      <c r="E10" s="9">
        <f>IF(main!$P$40,main!H92,0)</f>
        <v>0</v>
      </c>
      <c r="F10" s="2"/>
      <c r="G10" s="9">
        <f>IF(main!$P$41,main!F92,main!$F$85)</f>
        <v>39.999999999999922</v>
      </c>
      <c r="H10" s="9">
        <f>IF(main!$P$41,main!I92,0)</f>
        <v>0</v>
      </c>
      <c r="I10" s="2"/>
      <c r="J10" s="9">
        <f>IF(main!$P$42,main!F92,main!$F$85)</f>
        <v>59.090909090909008</v>
      </c>
      <c r="K10" s="9">
        <f>IF(main!$P$42,main!J92,0)</f>
        <v>204.71845139692437</v>
      </c>
      <c r="L10" s="2"/>
      <c r="M10" s="9">
        <f>IF(main!$P$44,main!F92,main!$F$85)</f>
        <v>59.090909090909008</v>
      </c>
      <c r="N10" s="9">
        <f>IF(main!$P$44,SUMPRODUCT(main!G92:J92*main!$G$83:$J$83),0)</f>
        <v>205.08494841145841</v>
      </c>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row>
    <row r="11" spans="1:245">
      <c r="A11" s="9">
        <f>IF(main!$P$39,main!F93,main!$F$85)</f>
        <v>61.818181818181735</v>
      </c>
      <c r="B11" s="9">
        <f>IF(main!$P$39,main!G93,0)</f>
        <v>0.53954302706067159</v>
      </c>
      <c r="C11" s="2"/>
      <c r="D11" s="9">
        <f>IF(main!$P$40,main!F93,main!$F$85)</f>
        <v>39.999999999999922</v>
      </c>
      <c r="E11" s="9">
        <f>IF(main!$P$40,main!H93,0)</f>
        <v>0</v>
      </c>
      <c r="F11" s="2"/>
      <c r="G11" s="9">
        <f>IF(main!$P$41,main!F93,main!$F$85)</f>
        <v>39.999999999999922</v>
      </c>
      <c r="H11" s="9">
        <f>IF(main!$P$41,main!I93,0)</f>
        <v>0</v>
      </c>
      <c r="I11" s="2"/>
      <c r="J11" s="9">
        <f>IF(main!$P$42,main!F93,main!$F$85)</f>
        <v>61.818181818181735</v>
      </c>
      <c r="K11" s="9">
        <f>IF(main!$P$42,main!J93,0)</f>
        <v>191.24342677282229</v>
      </c>
      <c r="L11" s="2"/>
      <c r="M11" s="9">
        <f>IF(main!$P$44,main!F93,main!$F$85)</f>
        <v>61.818181818181735</v>
      </c>
      <c r="N11" s="9">
        <f>IF(main!$P$44,SUMPRODUCT(main!G93:J93*main!$G$83:$J$83),0)</f>
        <v>191.78296979988295</v>
      </c>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row>
    <row r="12" spans="1:245">
      <c r="A12" s="9">
        <f>IF(main!$P$39,main!F94,main!$F$85)</f>
        <v>64.545454545454461</v>
      </c>
      <c r="B12" s="9">
        <f>IF(main!$P$39,main!G94,0)</f>
        <v>0.76824624006081343</v>
      </c>
      <c r="C12" s="2"/>
      <c r="D12" s="9">
        <f>IF(main!$P$40,main!F94,main!$F$85)</f>
        <v>39.999999999999922</v>
      </c>
      <c r="E12" s="9">
        <f>IF(main!$P$40,main!H94,0)</f>
        <v>0</v>
      </c>
      <c r="F12" s="2"/>
      <c r="G12" s="9">
        <f>IF(main!$P$41,main!F94,main!$F$85)</f>
        <v>39.999999999999922</v>
      </c>
      <c r="H12" s="9">
        <f>IF(main!$P$41,main!I94,0)</f>
        <v>0</v>
      </c>
      <c r="I12" s="2"/>
      <c r="J12" s="9">
        <f>IF(main!$P$42,main!F94,main!$F$85)</f>
        <v>64.545454545454461</v>
      </c>
      <c r="K12" s="9">
        <f>IF(main!$P$42,main!J94,0)</f>
        <v>177.8788136501984</v>
      </c>
      <c r="L12" s="2"/>
      <c r="M12" s="9">
        <f>IF(main!$P$44,main!F94,main!$F$85)</f>
        <v>64.545454545454461</v>
      </c>
      <c r="N12" s="9">
        <f>IF(main!$P$44,SUMPRODUCT(main!G94:J94*main!$G$83:$J$83),0)</f>
        <v>178.64705989025921</v>
      </c>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row>
    <row r="13" spans="1:245">
      <c r="A13" s="9">
        <f>IF(main!$P$39,main!F95,main!$F$85)</f>
        <v>67.272727272727195</v>
      </c>
      <c r="B13" s="9">
        <f>IF(main!$P$39,main!G95,0)</f>
        <v>1.0619487781474195</v>
      </c>
      <c r="C13" s="2"/>
      <c r="D13" s="9">
        <f>IF(main!$P$40,main!F95,main!$F$85)</f>
        <v>39.999999999999922</v>
      </c>
      <c r="E13" s="9">
        <f>IF(main!$P$40,main!H95,0)</f>
        <v>0</v>
      </c>
      <c r="F13" s="2"/>
      <c r="G13" s="9">
        <f>IF(main!$P$41,main!F95,main!$F$85)</f>
        <v>39.999999999999922</v>
      </c>
      <c r="H13" s="9">
        <f>IF(main!$P$41,main!I95,0)</f>
        <v>0</v>
      </c>
      <c r="I13" s="2"/>
      <c r="J13" s="9">
        <f>IF(main!$P$42,main!F95,main!$F$85)</f>
        <v>67.272727272727195</v>
      </c>
      <c r="K13" s="9">
        <f>IF(main!$P$42,main!J95,0)</f>
        <v>164.67451840355375</v>
      </c>
      <c r="L13" s="2"/>
      <c r="M13" s="9">
        <f>IF(main!$P$44,main!F95,main!$F$85)</f>
        <v>67.272727272727195</v>
      </c>
      <c r="N13" s="9">
        <f>IF(main!$P$44,SUMPRODUCT(main!G95:J95*main!$G$83:$J$83),0)</f>
        <v>165.73646718170116</v>
      </c>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row>
    <row r="14" spans="1:245">
      <c r="A14" s="9">
        <f>IF(main!$P$39,main!F96,main!$F$85)</f>
        <v>69.999999999999929</v>
      </c>
      <c r="B14" s="9">
        <f>IF(main!$P$39,main!G96,0)</f>
        <v>1.4296321410530286</v>
      </c>
      <c r="C14" s="2"/>
      <c r="D14" s="9">
        <f>IF(main!$P$40,main!F96,main!$F$85)</f>
        <v>39.999999999999922</v>
      </c>
      <c r="E14" s="9">
        <f>IF(main!$P$40,main!H96,0)</f>
        <v>0</v>
      </c>
      <c r="F14" s="2"/>
      <c r="G14" s="9">
        <f>IF(main!$P$41,main!F96,main!$F$85)</f>
        <v>39.999999999999922</v>
      </c>
      <c r="H14" s="9">
        <f>IF(main!$P$41,main!I96,0)</f>
        <v>0</v>
      </c>
      <c r="I14" s="2"/>
      <c r="J14" s="9">
        <f>IF(main!$P$42,main!F96,main!$F$85)</f>
        <v>69.999999999999929</v>
      </c>
      <c r="K14" s="9">
        <f>IF(main!$P$42,main!J96,0)</f>
        <v>151.69084046833731</v>
      </c>
      <c r="L14" s="2"/>
      <c r="M14" s="9">
        <f>IF(main!$P$44,main!F96,main!$F$85)</f>
        <v>69.999999999999929</v>
      </c>
      <c r="N14" s="9">
        <f>IF(main!$P$44,SUMPRODUCT(main!G96:J96*main!$G$83:$J$83),0)</f>
        <v>153.12047260939033</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row>
    <row r="15" spans="1:245">
      <c r="A15" s="9">
        <f>IF(main!$P$39,main!F97,main!$F$85)</f>
        <v>72.727272727272663</v>
      </c>
      <c r="B15" s="9">
        <f>IF(main!$P$39,main!G97,0)</f>
        <v>1.8796077440078047</v>
      </c>
      <c r="C15" s="2"/>
      <c r="D15" s="9">
        <f>IF(main!$P$40,main!F97,main!$F$85)</f>
        <v>39.999999999999922</v>
      </c>
      <c r="E15" s="9">
        <f>IF(main!$P$40,main!H97,0)</f>
        <v>0</v>
      </c>
      <c r="F15" s="2"/>
      <c r="G15" s="9">
        <f>IF(main!$P$41,main!F97,main!$F$85)</f>
        <v>39.999999999999922</v>
      </c>
      <c r="H15" s="9">
        <f>IF(main!$P$41,main!I97,0)</f>
        <v>0</v>
      </c>
      <c r="I15" s="2"/>
      <c r="J15" s="9">
        <f>IF(main!$P$42,main!F97,main!$F$85)</f>
        <v>72.727272727272663</v>
      </c>
      <c r="K15" s="9">
        <f>IF(main!$P$42,main!J97,0)</f>
        <v>138.99652818484617</v>
      </c>
      <c r="L15" s="2"/>
      <c r="M15" s="9">
        <f>IF(main!$P$44,main!F97,main!$F$85)</f>
        <v>72.727272727272663</v>
      </c>
      <c r="N15" s="9">
        <f>IF(main!$P$44,SUMPRODUCT(main!G97:J97*main!$G$83:$J$83),0)</f>
        <v>140.87613592885398</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row>
    <row r="16" spans="1:245">
      <c r="A16" s="9">
        <f>IF(main!$P$39,main!F98,main!$F$85)</f>
        <v>75.454545454545396</v>
      </c>
      <c r="B16" s="9">
        <f>IF(main!$P$39,main!G98,0)</f>
        <v>2.4192588228820444</v>
      </c>
      <c r="C16" s="2"/>
      <c r="D16" s="9">
        <f>IF(main!$P$40,main!F98,main!$F$85)</f>
        <v>39.999999999999922</v>
      </c>
      <c r="E16" s="9">
        <f>IF(main!$P$40,main!H98,0)</f>
        <v>0</v>
      </c>
      <c r="F16" s="2"/>
      <c r="G16" s="9">
        <f>IF(main!$P$41,main!F98,main!$F$85)</f>
        <v>39.999999999999922</v>
      </c>
      <c r="H16" s="9">
        <f>IF(main!$P$41,main!I98,0)</f>
        <v>0</v>
      </c>
      <c r="I16" s="2"/>
      <c r="J16" s="9">
        <f>IF(main!$P$42,main!F98,main!$F$85)</f>
        <v>75.454545454545396</v>
      </c>
      <c r="K16" s="9">
        <f>IF(main!$P$42,main!J98,0)</f>
        <v>126.66574755487716</v>
      </c>
      <c r="L16" s="2"/>
      <c r="M16" s="9">
        <f>IF(main!$P$44,main!F98,main!$F$85)</f>
        <v>75.454545454545396</v>
      </c>
      <c r="N16" s="9">
        <f>IF(main!$P$44,SUMPRODUCT(main!G98:J98*main!$G$83:$J$83),0)</f>
        <v>129.08500637775921</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row>
    <row r="17" spans="1:245">
      <c r="A17" s="9">
        <f>IF(main!$P$39,main!F99,main!$F$85)</f>
        <v>78.18181818181813</v>
      </c>
      <c r="B17" s="9">
        <f>IF(main!$P$39,main!G99,0)</f>
        <v>3.0548442910390889</v>
      </c>
      <c r="C17" s="2"/>
      <c r="D17" s="9">
        <f>IF(main!$P$40,main!F99,main!$F$85)</f>
        <v>39.999999999999922</v>
      </c>
      <c r="E17" s="9">
        <f>IF(main!$P$40,main!H99,0)</f>
        <v>0</v>
      </c>
      <c r="F17" s="2"/>
      <c r="G17" s="9">
        <f>IF(main!$P$41,main!F99,main!$F$85)</f>
        <v>39.999999999999922</v>
      </c>
      <c r="H17" s="9">
        <f>IF(main!$P$41,main!I99,0)</f>
        <v>0</v>
      </c>
      <c r="I17" s="2"/>
      <c r="J17" s="9">
        <f>IF(main!$P$42,main!F99,main!$F$85)</f>
        <v>78.18181818181813</v>
      </c>
      <c r="K17" s="9">
        <f>IF(main!$P$42,main!J99,0)</f>
        <v>114.77429857892318</v>
      </c>
      <c r="L17" s="2"/>
      <c r="M17" s="9">
        <f>IF(main!$P$44,main!F99,main!$F$85)</f>
        <v>78.18181818181813</v>
      </c>
      <c r="N17" s="9">
        <f>IF(main!$P$44,SUMPRODUCT(main!G99:J99*main!$G$83:$J$83),0)</f>
        <v>117.82914286996227</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row>
    <row r="18" spans="1:245">
      <c r="A18" s="9">
        <f>IF(main!$P$39,main!F100,main!$F$85)</f>
        <v>80.909090909090864</v>
      </c>
      <c r="B18" s="9">
        <f>IF(main!$P$39,main!G100,0)</f>
        <v>3.7913684236512744</v>
      </c>
      <c r="C18" s="2"/>
      <c r="D18" s="9">
        <f>IF(main!$P$40,main!F100,main!$F$85)</f>
        <v>39.999999999999922</v>
      </c>
      <c r="E18" s="9">
        <f>IF(main!$P$40,main!H100,0)</f>
        <v>0</v>
      </c>
      <c r="F18" s="2"/>
      <c r="G18" s="9">
        <f>IF(main!$P$41,main!F100,main!$F$85)</f>
        <v>39.999999999999922</v>
      </c>
      <c r="H18" s="9">
        <f>IF(main!$P$41,main!I100,0)</f>
        <v>0</v>
      </c>
      <c r="I18" s="2"/>
      <c r="J18" s="9">
        <f>IF(main!$P$42,main!F100,main!$F$85)</f>
        <v>80.909090909090864</v>
      </c>
      <c r="K18" s="9">
        <f>IF(main!$P$42,main!J100,0)</f>
        <v>103.39551658763192</v>
      </c>
      <c r="L18" s="2"/>
      <c r="M18" s="9">
        <f>IF(main!$P$44,main!F100,main!$F$85)</f>
        <v>80.909090909090864</v>
      </c>
      <c r="N18" s="9">
        <f>IF(main!$P$44,SUMPRODUCT(main!G100:J100*main!$G$83:$J$83),0)</f>
        <v>107.1868850112832</v>
      </c>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row>
    <row r="19" spans="1:245">
      <c r="A19" s="9">
        <f>IF(main!$P$39,main!F101,main!$F$85)</f>
        <v>83.636363636363598</v>
      </c>
      <c r="B19" s="9">
        <f>IF(main!$P$39,main!G101,0)</f>
        <v>4.6325146672909945</v>
      </c>
      <c r="C19" s="2"/>
      <c r="D19" s="9">
        <f>IF(main!$P$40,main!F101,main!$F$85)</f>
        <v>39.999999999999922</v>
      </c>
      <c r="E19" s="9">
        <f>IF(main!$P$40,main!H101,0)</f>
        <v>0</v>
      </c>
      <c r="F19" s="2"/>
      <c r="G19" s="9">
        <f>IF(main!$P$41,main!F101,main!$F$85)</f>
        <v>39.999999999999922</v>
      </c>
      <c r="H19" s="9">
        <f>IF(main!$P$41,main!I101,0)</f>
        <v>0</v>
      </c>
      <c r="I19" s="2"/>
      <c r="J19" s="9">
        <f>IF(main!$P$42,main!F101,main!$F$85)</f>
        <v>83.636363636363598</v>
      </c>
      <c r="K19" s="9">
        <f>IF(main!$P$42,main!J101,0)</f>
        <v>92.596313873871097</v>
      </c>
      <c r="L19" s="2"/>
      <c r="M19" s="9">
        <f>IF(main!$P$44,main!F101,main!$F$85)</f>
        <v>83.636363636363598</v>
      </c>
      <c r="N19" s="9">
        <f>IF(main!$P$44,SUMPRODUCT(main!G101:J101*main!$G$83:$J$83),0)</f>
        <v>97.228828541162088</v>
      </c>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row>
    <row r="20" spans="1:245">
      <c r="A20" s="9">
        <f>IF(main!$P$39,main!F102,main!$F$85)</f>
        <v>86.363636363636331</v>
      </c>
      <c r="B20" s="9">
        <f>IF(main!$P$39,main!G102,0)</f>
        <v>5.5806377131699954</v>
      </c>
      <c r="C20" s="2"/>
      <c r="D20" s="9">
        <f>IF(main!$P$40,main!F102,main!$F$85)</f>
        <v>39.999999999999922</v>
      </c>
      <c r="E20" s="9">
        <f>IF(main!$P$40,main!H102,0)</f>
        <v>0</v>
      </c>
      <c r="F20" s="2"/>
      <c r="G20" s="9">
        <f>IF(main!$P$41,main!F102,main!$F$85)</f>
        <v>39.999999999999922</v>
      </c>
      <c r="H20" s="9">
        <f>IF(main!$P$41,main!I102,0)</f>
        <v>0</v>
      </c>
      <c r="I20" s="2"/>
      <c r="J20" s="9">
        <f>IF(main!$P$42,main!F102,main!$F$85)</f>
        <v>86.363636363636331</v>
      </c>
      <c r="K20" s="9">
        <f>IF(main!$P$42,main!J102,0)</f>
        <v>82.433759598961444</v>
      </c>
      <c r="L20" s="2"/>
      <c r="M20" s="9">
        <f>IF(main!$P$44,main!F102,main!$F$85)</f>
        <v>86.363636363636331</v>
      </c>
      <c r="N20" s="9">
        <f>IF(main!$P$44,SUMPRODUCT(main!G102:J102*main!$G$83:$J$83),0)</f>
        <v>88.014397312131436</v>
      </c>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row>
    <row r="21" spans="1:245">
      <c r="A21" s="9">
        <f>IF(main!$P$39,main!F103,main!$F$85)</f>
        <v>89.090909090909065</v>
      </c>
      <c r="B21" s="9">
        <f>IF(main!$P$39,main!G103,0)</f>
        <v>6.6368052615319009</v>
      </c>
      <c r="C21" s="2"/>
      <c r="D21" s="9">
        <f>IF(main!$P$40,main!F103,main!$F$85)</f>
        <v>39.999999999999922</v>
      </c>
      <c r="E21" s="9">
        <f>IF(main!$P$40,main!H103,0)</f>
        <v>0</v>
      </c>
      <c r="F21" s="2"/>
      <c r="G21" s="9">
        <f>IF(main!$P$41,main!F103,main!$F$85)</f>
        <v>39.999999999999922</v>
      </c>
      <c r="H21" s="9">
        <f>IF(main!$P$41,main!I103,0)</f>
        <v>0</v>
      </c>
      <c r="I21" s="2"/>
      <c r="J21" s="9">
        <f>IF(main!$P$42,main!F103,main!$F$85)</f>
        <v>89.090909090909065</v>
      </c>
      <c r="K21" s="9">
        <f>IF(main!$P$42,main!J103,0)</f>
        <v>72.952486812570783</v>
      </c>
      <c r="L21" s="2"/>
      <c r="M21" s="9">
        <f>IF(main!$P$44,main!F103,main!$F$85)</f>
        <v>89.090909090909065</v>
      </c>
      <c r="N21" s="9">
        <f>IF(main!$P$44,SUMPRODUCT(main!G103:J103*main!$G$83:$J$83),0)</f>
        <v>79.589292074102687</v>
      </c>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row>
    <row r="22" spans="1:245">
      <c r="A22" s="9">
        <f>IF(main!$P$39,main!F104,main!$F$85)</f>
        <v>91.818181818181799</v>
      </c>
      <c r="B22" s="9">
        <f>IF(main!$P$39,main!G104,0)</f>
        <v>7.8008795015650136</v>
      </c>
      <c r="C22" s="2"/>
      <c r="D22" s="9">
        <f>IF(main!$P$40,main!F104,main!$F$85)</f>
        <v>39.999999999999922</v>
      </c>
      <c r="E22" s="9">
        <f>IF(main!$P$40,main!H104,0)</f>
        <v>0</v>
      </c>
      <c r="F22" s="2"/>
      <c r="G22" s="9">
        <f>IF(main!$P$41,main!F104,main!$F$85)</f>
        <v>39.999999999999922</v>
      </c>
      <c r="H22" s="9">
        <f>IF(main!$P$41,main!I104,0)</f>
        <v>0</v>
      </c>
      <c r="I22" s="2"/>
      <c r="J22" s="9">
        <f>IF(main!$P$42,main!F104,main!$F$85)</f>
        <v>91.818181818181799</v>
      </c>
      <c r="K22" s="9">
        <f>IF(main!$P$42,main!J104,0)</f>
        <v>64.18308289319296</v>
      </c>
      <c r="L22" s="2"/>
      <c r="M22" s="9">
        <f>IF(main!$P$44,main!F104,main!$F$85)</f>
        <v>91.818181818181799</v>
      </c>
      <c r="N22" s="9">
        <f>IF(main!$P$44,SUMPRODUCT(main!G104:J104*main!$G$83:$J$83),0)</f>
        <v>71.983962394757981</v>
      </c>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row>
    <row r="23" spans="1:245">
      <c r="A23" s="9">
        <f>IF(main!$P$39,main!F105,main!$F$85)</f>
        <v>94.545454545454533</v>
      </c>
      <c r="B23" s="9">
        <f>IF(main!$P$39,main!G105,0)</f>
        <v>9.0716280005167249</v>
      </c>
      <c r="C23" s="2"/>
      <c r="D23" s="9">
        <f>IF(main!$P$40,main!F105,main!$F$85)</f>
        <v>39.999999999999922</v>
      </c>
      <c r="E23" s="9">
        <f>IF(main!$P$40,main!H105,0)</f>
        <v>0</v>
      </c>
      <c r="F23" s="2"/>
      <c r="G23" s="9">
        <f>IF(main!$P$41,main!F105,main!$F$85)</f>
        <v>39.999999999999922</v>
      </c>
      <c r="H23" s="9">
        <f>IF(main!$P$41,main!I105,0)</f>
        <v>0</v>
      </c>
      <c r="I23" s="2"/>
      <c r="J23" s="9">
        <f>IF(main!$P$42,main!F105,main!$F$85)</f>
        <v>94.545454545454533</v>
      </c>
      <c r="K23" s="9">
        <f>IF(main!$P$42,main!J105,0)</f>
        <v>56.141489762390151</v>
      </c>
      <c r="L23" s="2"/>
      <c r="M23" s="9">
        <f>IF(main!$P$44,main!F105,main!$F$85)</f>
        <v>94.545454545454533</v>
      </c>
      <c r="N23" s="9">
        <f>IF(main!$P$44,SUMPRODUCT(main!G105:J105*main!$G$83:$J$83),0)</f>
        <v>65.213117762906876</v>
      </c>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row>
    <row r="24" spans="1:245">
      <c r="A24" s="9">
        <f>IF(main!$P$39,main!F106,main!$F$85)</f>
        <v>97.272727272727266</v>
      </c>
      <c r="B24" s="9">
        <f>IF(main!$P$39,main!G106,0)</f>
        <v>10.446854167923902</v>
      </c>
      <c r="C24" s="2"/>
      <c r="D24" s="9">
        <f>IF(main!$P$40,main!F106,main!$F$85)</f>
        <v>39.999999999999922</v>
      </c>
      <c r="E24" s="9">
        <f>IF(main!$P$40,main!H106,0)</f>
        <v>0</v>
      </c>
      <c r="F24" s="2"/>
      <c r="G24" s="9">
        <f>IF(main!$P$41,main!F106,main!$F$85)</f>
        <v>39.999999999999922</v>
      </c>
      <c r="H24" s="9">
        <f>IF(main!$P$41,main!I106,0)</f>
        <v>0</v>
      </c>
      <c r="I24" s="2"/>
      <c r="J24" s="9">
        <f>IF(main!$P$42,main!F106,main!$F$85)</f>
        <v>97.272727272727266</v>
      </c>
      <c r="K24" s="9">
        <f>IF(main!$P$42,main!J106,0)</f>
        <v>48.82933184121903</v>
      </c>
      <c r="L24" s="2"/>
      <c r="M24" s="9">
        <f>IF(main!$P$44,main!F106,main!$F$85)</f>
        <v>97.272727272727266</v>
      </c>
      <c r="N24" s="9">
        <f>IF(main!$P$44,SUMPRODUCT(main!G106:J106*main!$G$83:$J$83),0)</f>
        <v>59.276186009142933</v>
      </c>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row>
    <row r="25" spans="1:245">
      <c r="A25" s="9">
        <f>IF(main!$P$39,main!F107,main!$F$85)</f>
        <v>100</v>
      </c>
      <c r="B25" s="9">
        <f>IF(main!$P$39,main!G107,0)</f>
        <v>11.923538474048499</v>
      </c>
      <c r="C25" s="2"/>
      <c r="D25" s="9">
        <f>IF(main!$P$40,main!F107,main!$F$85)</f>
        <v>39.999999999999922</v>
      </c>
      <c r="E25" s="9">
        <f>IF(main!$P$40,main!H107,0)</f>
        <v>0</v>
      </c>
      <c r="F25" s="2"/>
      <c r="G25" s="9">
        <f>IF(main!$P$41,main!F107,main!$F$85)</f>
        <v>39.999999999999922</v>
      </c>
      <c r="H25" s="9">
        <f>IF(main!$P$41,main!I107,0)</f>
        <v>0</v>
      </c>
      <c r="I25" s="2"/>
      <c r="J25" s="9">
        <f>IF(main!$P$42,main!F107,main!$F$85)</f>
        <v>100</v>
      </c>
      <c r="K25" s="9">
        <f>IF(main!$P$42,main!J107,0)</f>
        <v>42.235013311614082</v>
      </c>
      <c r="L25" s="2"/>
      <c r="M25" s="9">
        <f>IF(main!$P$44,main!F107,main!$F$85)</f>
        <v>100</v>
      </c>
      <c r="N25" s="9">
        <f>IF(main!$P$44,SUMPRODUCT(main!G107:J107*main!$G$83:$J$83),0)</f>
        <v>54.158551785662581</v>
      </c>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row>
    <row r="26" spans="1:245">
      <c r="A26" s="9">
        <f>IF(main!$P$39,main!F108,main!$F$85)</f>
        <v>102.72727272727273</v>
      </c>
      <c r="B26" s="9">
        <f>IF(main!$P$39,main!G108,0)</f>
        <v>13.49798292644482</v>
      </c>
      <c r="C26" s="2"/>
      <c r="D26" s="9">
        <f>IF(main!$P$40,main!F108,main!$F$85)</f>
        <v>39.999999999999922</v>
      </c>
      <c r="E26" s="9">
        <f>IF(main!$P$40,main!H108,0)</f>
        <v>0</v>
      </c>
      <c r="F26" s="2"/>
      <c r="G26" s="9">
        <f>IF(main!$P$41,main!F108,main!$F$85)</f>
        <v>39.999999999999922</v>
      </c>
      <c r="H26" s="9">
        <f>IF(main!$P$41,main!I108,0)</f>
        <v>0</v>
      </c>
      <c r="I26" s="2"/>
      <c r="J26" s="9">
        <f>IF(main!$P$42,main!F108,main!$F$85)</f>
        <v>102.72727272727273</v>
      </c>
      <c r="K26" s="9">
        <f>IF(main!$P$42,main!J108,0)</f>
        <v>36.33538434084663</v>
      </c>
      <c r="L26" s="2"/>
      <c r="M26" s="9">
        <f>IF(main!$P$44,main!F108,main!$F$85)</f>
        <v>102.72727272727273</v>
      </c>
      <c r="N26" s="9">
        <f>IF(main!$P$44,SUMPRODUCT(main!G108:J108*main!$G$83:$J$83),0)</f>
        <v>49.83336726729145</v>
      </c>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row>
    <row r="27" spans="1:245">
      <c r="A27" s="9">
        <f>IF(main!$P$39,main!F109,main!$F$85)</f>
        <v>105.45454545454547</v>
      </c>
      <c r="B27" s="9">
        <f>IF(main!$P$39,main!G109,0)</f>
        <v>15.16595276041523</v>
      </c>
      <c r="C27" s="2"/>
      <c r="D27" s="9">
        <f>IF(main!$P$40,main!F109,main!$F$85)</f>
        <v>39.999999999999922</v>
      </c>
      <c r="E27" s="9">
        <f>IF(main!$P$40,main!H109,0)</f>
        <v>0</v>
      </c>
      <c r="F27" s="2"/>
      <c r="G27" s="9">
        <f>IF(main!$P$41,main!F109,main!$F$85)</f>
        <v>39.999999999999922</v>
      </c>
      <c r="H27" s="9">
        <f>IF(main!$P$41,main!I109,0)</f>
        <v>0</v>
      </c>
      <c r="I27" s="2"/>
      <c r="J27" s="9">
        <f>IF(main!$P$42,main!F109,main!$F$85)</f>
        <v>105.45454545454547</v>
      </c>
      <c r="K27" s="9">
        <f>IF(main!$P$42,main!J109,0)</f>
        <v>31.097765157256063</v>
      </c>
      <c r="L27" s="2"/>
      <c r="M27" s="9">
        <f>IF(main!$P$44,main!F109,main!$F$85)</f>
        <v>105.45454545454547</v>
      </c>
      <c r="N27" s="9">
        <f>IF(main!$P$44,SUMPRODUCT(main!G109:J109*main!$G$83:$J$83),0)</f>
        <v>46.263717917671293</v>
      </c>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row>
    <row r="28" spans="1:245">
      <c r="A28" s="9">
        <f>IF(main!$P$39,main!F110,main!$F$85)</f>
        <v>108.1818181818182</v>
      </c>
      <c r="B28" s="9">
        <f>IF(main!$P$39,main!G110,0)</f>
        <v>16.922810740398063</v>
      </c>
      <c r="C28" s="2"/>
      <c r="D28" s="9">
        <f>IF(main!$P$40,main!F110,main!$F$85)</f>
        <v>39.999999999999922</v>
      </c>
      <c r="E28" s="9">
        <f>IF(main!$P$40,main!H110,0)</f>
        <v>0</v>
      </c>
      <c r="F28" s="2"/>
      <c r="G28" s="9">
        <f>IF(main!$P$41,main!F110,main!$F$85)</f>
        <v>39.999999999999922</v>
      </c>
      <c r="H28" s="9">
        <f>IF(main!$P$41,main!I110,0)</f>
        <v>0</v>
      </c>
      <c r="I28" s="2"/>
      <c r="J28" s="9">
        <f>IF(main!$P$42,main!F110,main!$F$85)</f>
        <v>108.1818181818182</v>
      </c>
      <c r="K28" s="9">
        <f>IF(main!$P$42,main!J110,0)</f>
        <v>26.48213038673731</v>
      </c>
      <c r="L28" s="2"/>
      <c r="M28" s="9">
        <f>IF(main!$P$44,main!F110,main!$F$85)</f>
        <v>108.1818181818182</v>
      </c>
      <c r="N28" s="9">
        <f>IF(main!$P$44,SUMPRODUCT(main!G110:J110*main!$G$83:$J$83),0)</f>
        <v>43.404941127135373</v>
      </c>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row>
    <row r="29" spans="1:245">
      <c r="A29" s="9">
        <f>IF(main!$P$39,main!F111,main!$F$85)</f>
        <v>110.90909090909093</v>
      </c>
      <c r="B29" s="9">
        <f>IF(main!$P$39,main!G111,0)</f>
        <v>18.763640806250145</v>
      </c>
      <c r="C29" s="2"/>
      <c r="D29" s="9">
        <f>IF(main!$P$40,main!F111,main!$F$85)</f>
        <v>39.999999999999922</v>
      </c>
      <c r="E29" s="9">
        <f>IF(main!$P$40,main!H111,0)</f>
        <v>0</v>
      </c>
      <c r="F29" s="2"/>
      <c r="G29" s="9">
        <f>IF(main!$P$41,main!F111,main!$F$85)</f>
        <v>39.999999999999922</v>
      </c>
      <c r="H29" s="9">
        <f>IF(main!$P$41,main!I111,0)</f>
        <v>0</v>
      </c>
      <c r="I29" s="2"/>
      <c r="J29" s="9">
        <f>IF(main!$P$42,main!F111,main!$F$85)</f>
        <v>110.90909090909093</v>
      </c>
      <c r="K29" s="9">
        <f>IF(main!$P$42,main!J111,0)</f>
        <v>22.443285741035393</v>
      </c>
      <c r="L29" s="2"/>
      <c r="M29" s="9">
        <f>IF(main!$P$44,main!F111,main!$F$85)</f>
        <v>110.90909090909093</v>
      </c>
      <c r="N29" s="9">
        <f>IF(main!$P$44,SUMPRODUCT(main!G111:J111*main!$G$83:$J$83),0)</f>
        <v>41.206926547285534</v>
      </c>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row>
    <row r="30" spans="1:245">
      <c r="A30" s="9">
        <f>IF(main!$P$39,main!F112,main!$F$85)</f>
        <v>113.63636363636367</v>
      </c>
      <c r="B30" s="9">
        <f>IF(main!$P$39,main!G112,0)</f>
        <v>20.683358974238857</v>
      </c>
      <c r="C30" s="2"/>
      <c r="D30" s="9">
        <f>IF(main!$P$40,main!F112,main!$F$85)</f>
        <v>39.999999999999922</v>
      </c>
      <c r="E30" s="9">
        <f>IF(main!$P$40,main!H112,0)</f>
        <v>0</v>
      </c>
      <c r="F30" s="2"/>
      <c r="G30" s="9">
        <f>IF(main!$P$41,main!F112,main!$F$85)</f>
        <v>39.999999999999922</v>
      </c>
      <c r="H30" s="9">
        <f>IF(main!$P$41,main!I112,0)</f>
        <v>0</v>
      </c>
      <c r="I30" s="2"/>
      <c r="J30" s="9">
        <f>IF(main!$P$42,main!F112,main!$F$85)</f>
        <v>113.63636363636367</v>
      </c>
      <c r="K30" s="9">
        <f>IF(main!$P$42,main!J112,0)</f>
        <v>18.932907208697234</v>
      </c>
      <c r="L30" s="2"/>
      <c r="M30" s="9">
        <f>IF(main!$P$44,main!F112,main!$F$85)</f>
        <v>113.63636363636367</v>
      </c>
      <c r="N30" s="9">
        <f>IF(main!$P$44,SUMPRODUCT(main!G112:J112*main!$G$83:$J$83),0)</f>
        <v>39.616266182936087</v>
      </c>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row>
    <row r="31" spans="1:245">
      <c r="A31" s="9">
        <f>IF(main!$P$39,main!F113,main!$F$85)</f>
        <v>116.3636363636364</v>
      </c>
      <c r="B31" s="9">
        <f>IF(main!$P$39,main!G113,0)</f>
        <v>22.676810389988184</v>
      </c>
      <c r="C31" s="2"/>
      <c r="D31" s="9">
        <f>IF(main!$P$40,main!F113,main!$F$85)</f>
        <v>39.999999999999922</v>
      </c>
      <c r="E31" s="9">
        <f>IF(main!$P$40,main!H113,0)</f>
        <v>0</v>
      </c>
      <c r="F31" s="2"/>
      <c r="G31" s="9">
        <f>IF(main!$P$41,main!F113,main!$F$85)</f>
        <v>39.999999999999922</v>
      </c>
      <c r="H31" s="9">
        <f>IF(main!$P$41,main!I113,0)</f>
        <v>0</v>
      </c>
      <c r="I31" s="2"/>
      <c r="J31" s="9">
        <f>IF(main!$P$42,main!F113,main!$F$85)</f>
        <v>116.3636363636364</v>
      </c>
      <c r="K31" s="9">
        <f>IF(main!$P$42,main!J113,0)</f>
        <v>15.901352901137678</v>
      </c>
      <c r="L31" s="2"/>
      <c r="M31" s="9">
        <f>IF(main!$P$44,main!F113,main!$F$85)</f>
        <v>116.3636363636364</v>
      </c>
      <c r="N31" s="9">
        <f>IF(main!$P$44,SUMPRODUCT(main!G113:J113*main!$G$83:$J$83),0)</f>
        <v>38.578163291125861</v>
      </c>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row>
    <row r="32" spans="1:245">
      <c r="A32" s="9">
        <f>IF(main!$P$39,main!F114,main!$F$85)</f>
        <v>119.09090909090914</v>
      </c>
      <c r="B32" s="9">
        <f>IF(main!$P$39,main!G114,0)</f>
        <v>24.738852223933037</v>
      </c>
      <c r="C32" s="2"/>
      <c r="D32" s="9">
        <f>IF(main!$P$40,main!F114,main!$F$85)</f>
        <v>39.999999999999922</v>
      </c>
      <c r="E32" s="9">
        <f>IF(main!$P$40,main!H114,0)</f>
        <v>0</v>
      </c>
      <c r="F32" s="2"/>
      <c r="G32" s="9">
        <f>IF(main!$P$41,main!F114,main!$F$85)</f>
        <v>39.999999999999922</v>
      </c>
      <c r="H32" s="9">
        <f>IF(main!$P$41,main!I114,0)</f>
        <v>0</v>
      </c>
      <c r="I32" s="2"/>
      <c r="J32" s="9">
        <f>IF(main!$P$42,main!F114,main!$F$85)</f>
        <v>119.09090909090914</v>
      </c>
      <c r="K32" s="9">
        <f>IF(main!$P$42,main!J114,0)</f>
        <v>13.299194987956859</v>
      </c>
      <c r="L32" s="2"/>
      <c r="M32" s="9">
        <f>IF(main!$P$44,main!F114,main!$F$85)</f>
        <v>119.09090909090914</v>
      </c>
      <c r="N32" s="9">
        <f>IF(main!$P$44,SUMPRODUCT(main!G114:J114*main!$G$83:$J$83),0)</f>
        <v>38.038047211889896</v>
      </c>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row>
    <row r="33" spans="1:245">
      <c r="A33" s="9">
        <f>IF(main!$P$39,main!F115,main!$F$85)</f>
        <v>121.81818181818187</v>
      </c>
      <c r="B33" s="9">
        <f>IF(main!$P$39,main!G115,0)</f>
        <v>26.864422708165165</v>
      </c>
      <c r="C33" s="2"/>
      <c r="D33" s="9">
        <f>IF(main!$P$40,main!F115,main!$F$85)</f>
        <v>39.999999999999922</v>
      </c>
      <c r="E33" s="9">
        <f>IF(main!$P$40,main!H115,0)</f>
        <v>0</v>
      </c>
      <c r="F33" s="2"/>
      <c r="G33" s="9">
        <f>IF(main!$P$41,main!F115,main!$F$85)</f>
        <v>39.999999999999922</v>
      </c>
      <c r="H33" s="9">
        <f>IF(main!$P$41,main!I115,0)</f>
        <v>0</v>
      </c>
      <c r="I33" s="2"/>
      <c r="J33" s="9">
        <f>IF(main!$P$42,main!F115,main!$F$85)</f>
        <v>121.81818181818187</v>
      </c>
      <c r="K33" s="9">
        <f>IF(main!$P$42,main!J115,0)</f>
        <v>11.078450839844187</v>
      </c>
      <c r="L33" s="2"/>
      <c r="M33" s="9">
        <f>IF(main!$P$44,main!F115,main!$F$85)</f>
        <v>121.81818181818187</v>
      </c>
      <c r="N33" s="9">
        <f>IF(main!$P$44,SUMPRODUCT(main!G115:J115*main!$G$83:$J$83),0)</f>
        <v>37.942873548009352</v>
      </c>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row>
    <row r="34" spans="1:245">
      <c r="A34" s="9">
        <f>IF(main!$P$39,main!F116,main!$F$85)</f>
        <v>124.5454545454546</v>
      </c>
      <c r="B34" s="9">
        <f>IF(main!$P$39,main!G116,0)</f>
        <v>29.048597055215723</v>
      </c>
      <c r="C34" s="2"/>
      <c r="D34" s="9">
        <f>IF(main!$P$40,main!F116,main!$F$85)</f>
        <v>39.999999999999922</v>
      </c>
      <c r="E34" s="9">
        <f>IF(main!$P$40,main!H116,0)</f>
        <v>0</v>
      </c>
      <c r="F34" s="2"/>
      <c r="G34" s="9">
        <f>IF(main!$P$41,main!F116,main!$F$85)</f>
        <v>39.999999999999922</v>
      </c>
      <c r="H34" s="9">
        <f>IF(main!$P$41,main!I116,0)</f>
        <v>0</v>
      </c>
      <c r="I34" s="2"/>
      <c r="J34" s="9">
        <f>IF(main!$P$42,main!F116,main!$F$85)</f>
        <v>124.5454545454546</v>
      </c>
      <c r="K34" s="9">
        <f>IF(main!$P$42,main!J116,0)</f>
        <v>9.1935172419901612</v>
      </c>
      <c r="L34" s="2"/>
      <c r="M34" s="9">
        <f>IF(main!$P$44,main!F116,main!$F$85)</f>
        <v>124.5454545454546</v>
      </c>
      <c r="N34" s="9">
        <f>IF(main!$P$44,SUMPRODUCT(main!G116:J116*main!$G$83:$J$83),0)</f>
        <v>38.242114297205887</v>
      </c>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row>
    <row r="35" spans="1:245">
      <c r="A35" s="9">
        <f>IF(main!$P$39,main!F117,main!$F$85)</f>
        <v>127.27272727272734</v>
      </c>
      <c r="B35" s="9">
        <f>IF(main!$P$39,main!G117,0)</f>
        <v>31.286631297437282</v>
      </c>
      <c r="C35" s="2"/>
      <c r="D35" s="9">
        <f>IF(main!$P$40,main!F117,main!$F$85)</f>
        <v>39.999999999999922</v>
      </c>
      <c r="E35" s="9">
        <f>IF(main!$P$40,main!H117,0)</f>
        <v>0</v>
      </c>
      <c r="F35" s="2"/>
      <c r="G35" s="9">
        <f>IF(main!$P$41,main!F117,main!$F$85)</f>
        <v>39.999999999999922</v>
      </c>
      <c r="H35" s="9">
        <f>IF(main!$P$41,main!I117,0)</f>
        <v>0</v>
      </c>
      <c r="I35" s="2"/>
      <c r="J35" s="9">
        <f>IF(main!$P$42,main!F117,main!$F$85)</f>
        <v>127.27272727272734</v>
      </c>
      <c r="K35" s="9">
        <f>IF(main!$P$42,main!J117,0)</f>
        <v>7.6018291714180108</v>
      </c>
      <c r="L35" s="2"/>
      <c r="M35" s="9">
        <f>IF(main!$P$44,main!F117,main!$F$85)</f>
        <v>127.27272727272734</v>
      </c>
      <c r="N35" s="9">
        <f>IF(main!$P$44,SUMPRODUCT(main!G117:J117*main!$G$83:$J$83),0)</f>
        <v>38.888460468855293</v>
      </c>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row>
    <row r="36" spans="1:245">
      <c r="A36" s="9">
        <f>IF(main!$P$39,main!F118,main!$F$85)</f>
        <v>130.00000000000006</v>
      </c>
      <c r="B36" s="9">
        <f>IF(main!$P$39,main!G118,0)</f>
        <v>33.573995264932293</v>
      </c>
      <c r="C36" s="2"/>
      <c r="D36" s="9">
        <f>IF(main!$P$40,main!F118,main!$F$85)</f>
        <v>39.999999999999922</v>
      </c>
      <c r="E36" s="9">
        <f>IF(main!$P$40,main!H118,0)</f>
        <v>0</v>
      </c>
      <c r="F36" s="2"/>
      <c r="G36" s="9">
        <f>IF(main!$P$41,main!F118,main!$F$85)</f>
        <v>39.999999999999922</v>
      </c>
      <c r="H36" s="9">
        <f>IF(main!$P$41,main!I118,0)</f>
        <v>0</v>
      </c>
      <c r="I36" s="2"/>
      <c r="J36" s="9">
        <f>IF(main!$P$42,main!F118,main!$F$85)</f>
        <v>130.00000000000006</v>
      </c>
      <c r="K36" s="9">
        <f>IF(main!$P$42,main!J118,0)</f>
        <v>6.2642757553366746</v>
      </c>
      <c r="L36" s="2"/>
      <c r="M36" s="9">
        <f>IF(main!$P$44,main!F118,main!$F$85)</f>
        <v>130.00000000000006</v>
      </c>
      <c r="N36" s="9">
        <f>IF(main!$P$44,SUMPRODUCT(main!G118:J118*main!$G$83:$J$83),0)</f>
        <v>39.838271020268969</v>
      </c>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row>
    <row r="37" spans="1:245">
      <c r="A37" s="9">
        <f>IF(main!$P$39,main!F119,main!$F$85)</f>
        <v>132.72727272727278</v>
      </c>
      <c r="B37" s="9">
        <f>IF(main!$P$39,main!G119,0)</f>
        <v>35.906396004551212</v>
      </c>
      <c r="C37" s="2"/>
      <c r="D37" s="9">
        <f>IF(main!$P$40,main!F119,main!$F$85)</f>
        <v>39.999999999999922</v>
      </c>
      <c r="E37" s="9">
        <f>IF(main!$P$40,main!H119,0)</f>
        <v>0</v>
      </c>
      <c r="F37" s="2"/>
      <c r="G37" s="9">
        <f>IF(main!$P$41,main!F119,main!$F$85)</f>
        <v>39.999999999999922</v>
      </c>
      <c r="H37" s="9">
        <f>IF(main!$P$41,main!I119,0)</f>
        <v>0</v>
      </c>
      <c r="I37" s="2"/>
      <c r="J37" s="9">
        <f>IF(main!$P$42,main!F119,main!$F$85)</f>
        <v>132.72727272727278</v>
      </c>
      <c r="K37" s="9">
        <f>IF(main!$P$42,main!J119,0)</f>
        <v>5.1454116917327042</v>
      </c>
      <c r="L37" s="2"/>
      <c r="M37" s="9">
        <f>IF(main!$P$44,main!F119,main!$F$85)</f>
        <v>132.72727272727278</v>
      </c>
      <c r="N37" s="9">
        <f>IF(main!$P$44,SUMPRODUCT(main!G119:J119*main!$G$83:$J$83),0)</f>
        <v>41.051807696283916</v>
      </c>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row>
    <row r="38" spans="1:245">
      <c r="A38" s="9">
        <f>IF(main!$P$39,main!F120,main!$F$85)</f>
        <v>135.4545454545455</v>
      </c>
      <c r="B38" s="9">
        <f>IF(main!$P$39,main!G120,0)</f>
        <v>38.279792954494951</v>
      </c>
      <c r="C38" s="2"/>
      <c r="D38" s="9">
        <f>IF(main!$P$40,main!F120,main!$F$85)</f>
        <v>39.999999999999922</v>
      </c>
      <c r="E38" s="9">
        <f>IF(main!$P$40,main!H120,0)</f>
        <v>0</v>
      </c>
      <c r="F38" s="2"/>
      <c r="G38" s="9">
        <f>IF(main!$P$41,main!F120,main!$F$85)</f>
        <v>39.999999999999922</v>
      </c>
      <c r="H38" s="9">
        <f>IF(main!$P$41,main!I120,0)</f>
        <v>0</v>
      </c>
      <c r="I38" s="2"/>
      <c r="J38" s="9">
        <f>IF(main!$P$42,main!F120,main!$F$85)</f>
        <v>135.4545454545455</v>
      </c>
      <c r="K38" s="9">
        <f>IF(main!$P$42,main!J120,0)</f>
        <v>4.2135038368851507</v>
      </c>
      <c r="L38" s="2"/>
      <c r="M38" s="9">
        <f>IF(main!$P$44,main!F120,main!$F$85)</f>
        <v>135.4545454545455</v>
      </c>
      <c r="N38" s="9">
        <f>IF(main!$P$44,SUMPRODUCT(main!G120:J120*main!$G$83:$J$83),0)</f>
        <v>42.493296791380104</v>
      </c>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row>
    <row r="39" spans="1:245">
      <c r="A39" s="9">
        <f>IF(main!$P$39,main!F121,main!$F$85)</f>
        <v>138.18181818181822</v>
      </c>
      <c r="B39" s="9">
        <f>IF(main!$P$39,main!G121,0)</f>
        <v>40.690406147934837</v>
      </c>
      <c r="C39" s="2"/>
      <c r="D39" s="9">
        <f>IF(main!$P$40,main!F121,main!$F$85)</f>
        <v>39.999999999999922</v>
      </c>
      <c r="E39" s="9">
        <f>IF(main!$P$40,main!H121,0)</f>
        <v>0</v>
      </c>
      <c r="F39" s="2"/>
      <c r="G39" s="9">
        <f>IF(main!$P$41,main!F121,main!$F$85)</f>
        <v>39.999999999999922</v>
      </c>
      <c r="H39" s="9">
        <f>IF(main!$P$41,main!I121,0)</f>
        <v>0</v>
      </c>
      <c r="I39" s="2"/>
      <c r="J39" s="9">
        <f>IF(main!$P$42,main!F121,main!$F$85)</f>
        <v>138.18181818181822</v>
      </c>
      <c r="K39" s="9">
        <f>IF(main!$P$42,main!J121,0)</f>
        <v>3.4404510497017204</v>
      </c>
      <c r="L39" s="2"/>
      <c r="M39" s="9">
        <f>IF(main!$P$44,main!F121,main!$F$85)</f>
        <v>138.18181818181822</v>
      </c>
      <c r="N39" s="9">
        <f>IF(main!$P$44,SUMPRODUCT(main!G121:J121*main!$G$83:$J$83),0)</f>
        <v>44.130857197636558</v>
      </c>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row>
    <row r="40" spans="1:245">
      <c r="A40" s="9">
        <f>IF(main!$P$39,main!F122,main!$F$85)</f>
        <v>140.90909090909093</v>
      </c>
      <c r="B40" s="9">
        <f>IF(main!$P$39,main!G122,0)</f>
        <v>43.134718641208153</v>
      </c>
      <c r="C40" s="2"/>
      <c r="D40" s="9">
        <f>IF(main!$P$40,main!F122,main!$F$85)</f>
        <v>39.999999999999922</v>
      </c>
      <c r="E40" s="9">
        <f>IF(main!$P$40,main!H122,0)</f>
        <v>0</v>
      </c>
      <c r="F40" s="2"/>
      <c r="G40" s="9">
        <f>IF(main!$P$41,main!F122,main!$F$85)</f>
        <v>39.999999999999922</v>
      </c>
      <c r="H40" s="9">
        <f>IF(main!$P$41,main!I122,0)</f>
        <v>0</v>
      </c>
      <c r="I40" s="2"/>
      <c r="J40" s="9">
        <f>IF(main!$P$42,main!F122,main!$F$85)</f>
        <v>140.90909090909093</v>
      </c>
      <c r="K40" s="9">
        <f>IF(main!$P$42,main!J122,0)</f>
        <v>2.8016117998840961</v>
      </c>
      <c r="L40" s="2"/>
      <c r="M40" s="9">
        <f>IF(main!$P$44,main!F122,main!$F$85)</f>
        <v>140.90909090909093</v>
      </c>
      <c r="N40" s="9">
        <f>IF(main!$P$44,SUMPRODUCT(main!G122:J122*main!$G$83:$J$83),0)</f>
        <v>45.936330441092252</v>
      </c>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row>
    <row r="41" spans="1:245">
      <c r="A41" s="9">
        <f>IF(main!$P$39,main!F123,main!$F$85)</f>
        <v>143.63636363636365</v>
      </c>
      <c r="B41" s="9">
        <f>IF(main!$P$39,main!G123,0)</f>
        <v>45.609474260947053</v>
      </c>
      <c r="C41" s="2"/>
      <c r="D41" s="9">
        <f>IF(main!$P$40,main!F123,main!$F$85)</f>
        <v>39.999999999999922</v>
      </c>
      <c r="E41" s="9">
        <f>IF(main!$P$40,main!H123,0)</f>
        <v>0</v>
      </c>
      <c r="F41" s="2"/>
      <c r="G41" s="9">
        <f>IF(main!$P$41,main!F123,main!$F$85)</f>
        <v>39.999999999999922</v>
      </c>
      <c r="H41" s="9">
        <f>IF(main!$P$41,main!I123,0)</f>
        <v>0</v>
      </c>
      <c r="I41" s="2"/>
      <c r="J41" s="9">
        <f>IF(main!$P$42,main!F123,main!$F$85)</f>
        <v>143.63636363636365</v>
      </c>
      <c r="K41" s="9">
        <f>IF(main!$P$42,main!J123,0)</f>
        <v>2.2755693762007034</v>
      </c>
      <c r="L41" s="2"/>
      <c r="M41" s="9">
        <f>IF(main!$P$44,main!F123,main!$F$85)</f>
        <v>143.63636363636365</v>
      </c>
      <c r="N41" s="9">
        <f>IF(main!$P$44,SUMPRODUCT(main!G123:J123*main!$G$83:$J$83),0)</f>
        <v>47.88504363714776</v>
      </c>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row>
    <row r="42" spans="1:245">
      <c r="A42" s="9">
        <f>IF(main!$P$39,main!F124,main!$F$85)</f>
        <v>146.36363636363637</v>
      </c>
      <c r="B42" s="9">
        <f>IF(main!$P$39,main!G124,0)</f>
        <v>48.11167165052079</v>
      </c>
      <c r="C42" s="2"/>
      <c r="D42" s="9">
        <f>IF(main!$P$40,main!F124,main!$F$85)</f>
        <v>39.999999999999922</v>
      </c>
      <c r="E42" s="9">
        <f>IF(main!$P$40,main!H124,0)</f>
        <v>0</v>
      </c>
      <c r="F42" s="2"/>
      <c r="G42" s="9">
        <f>IF(main!$P$41,main!F124,main!$F$85)</f>
        <v>39.999999999999922</v>
      </c>
      <c r="H42" s="9">
        <f>IF(main!$P$41,main!I124,0)</f>
        <v>0</v>
      </c>
      <c r="I42" s="2"/>
      <c r="J42" s="9">
        <f>IF(main!$P$42,main!F124,main!$F$85)</f>
        <v>146.36363636363637</v>
      </c>
      <c r="K42" s="9">
        <f>IF(main!$P$42,main!J124,0)</f>
        <v>1.8438594472877368</v>
      </c>
      <c r="L42" s="2"/>
      <c r="M42" s="9">
        <f>IF(main!$P$44,main!F124,main!$F$85)</f>
        <v>146.36363636363637</v>
      </c>
      <c r="N42" s="9">
        <f>IF(main!$P$44,SUMPRODUCT(main!G124:J124*main!$G$83:$J$83),0)</f>
        <v>49.955531097808525</v>
      </c>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row>
    <row r="43" spans="1:245">
      <c r="A43" s="9">
        <f>IF(main!$P$39,main!F125,main!$F$85)</f>
        <v>149.09090909090909</v>
      </c>
      <c r="B43" s="9">
        <f>IF(main!$P$39,main!G125,0)</f>
        <v>50.638555477483976</v>
      </c>
      <c r="C43" s="2"/>
      <c r="D43" s="9">
        <f>IF(main!$P$40,main!F125,main!$F$85)</f>
        <v>39.999999999999922</v>
      </c>
      <c r="E43" s="9">
        <f>IF(main!$P$40,main!H125,0)</f>
        <v>0</v>
      </c>
      <c r="F43" s="2"/>
      <c r="G43" s="9">
        <f>IF(main!$P$41,main!F125,main!$F$85)</f>
        <v>39.999999999999922</v>
      </c>
      <c r="H43" s="9">
        <f>IF(main!$P$41,main!I125,0)</f>
        <v>0</v>
      </c>
      <c r="I43" s="2"/>
      <c r="J43" s="9">
        <f>IF(main!$P$42,main!F125,main!$F$85)</f>
        <v>149.09090909090909</v>
      </c>
      <c r="K43" s="9">
        <f>IF(main!$P$42,main!J125,0)</f>
        <v>1.4906797110905057</v>
      </c>
      <c r="L43" s="2"/>
      <c r="M43" s="9">
        <f>IF(main!$P$44,main!F125,main!$F$85)</f>
        <v>149.09090909090909</v>
      </c>
      <c r="N43" s="9">
        <f>IF(main!$P$44,SUMPRODUCT(main!G125:J125*main!$G$83:$J$83),0)</f>
        <v>52.129235188574484</v>
      </c>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row>
    <row r="44" spans="1:245">
      <c r="A44" s="9">
        <f>IF(main!$P$39,main!F126,main!$F$85)</f>
        <v>151.81818181818181</v>
      </c>
      <c r="B44" s="9">
        <f>IF(main!$P$39,main!G126,0)</f>
        <v>53.187605546247042</v>
      </c>
      <c r="C44" s="2"/>
      <c r="D44" s="9">
        <f>IF(main!$P$40,main!F126,main!$F$85)</f>
        <v>39.999999999999922</v>
      </c>
      <c r="E44" s="9">
        <f>IF(main!$P$40,main!H126,0)</f>
        <v>0</v>
      </c>
      <c r="F44" s="2"/>
      <c r="G44" s="9">
        <f>IF(main!$P$41,main!F126,main!$F$85)</f>
        <v>39.999999999999922</v>
      </c>
      <c r="H44" s="9">
        <f>IF(main!$P$41,main!I126,0)</f>
        <v>0</v>
      </c>
      <c r="I44" s="2"/>
      <c r="J44" s="9">
        <f>IF(main!$P$42,main!F126,main!$F$85)</f>
        <v>151.81818181818181</v>
      </c>
      <c r="K44" s="9">
        <f>IF(main!$P$42,main!J126,0)</f>
        <v>1.202596733582213</v>
      </c>
      <c r="L44" s="2"/>
      <c r="M44" s="9">
        <f>IF(main!$P$44,main!F126,main!$F$85)</f>
        <v>151.81818181818181</v>
      </c>
      <c r="N44" s="9">
        <f>IF(main!$P$44,SUMPRODUCT(main!G126:J126*main!$G$83:$J$83),0)</f>
        <v>54.390202279829253</v>
      </c>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row>
    <row r="45" spans="1:245">
      <c r="A45" s="9">
        <f>IF(main!$P$39,main!F127,main!$F$85)</f>
        <v>154.54545454545453</v>
      </c>
      <c r="B45" s="9">
        <f>IF(main!$P$39,main!G127,0)</f>
        <v>55.756524448058116</v>
      </c>
      <c r="C45" s="2"/>
      <c r="D45" s="9">
        <f>IF(main!$P$40,main!F127,main!$F$85)</f>
        <v>39.999999999999922</v>
      </c>
      <c r="E45" s="9">
        <f>IF(main!$P$40,main!H127,0)</f>
        <v>0</v>
      </c>
      <c r="F45" s="2"/>
      <c r="G45" s="9">
        <f>IF(main!$P$41,main!F127,main!$F$85)</f>
        <v>39.999999999999922</v>
      </c>
      <c r="H45" s="9">
        <f>IF(main!$P$41,main!I127,0)</f>
        <v>0</v>
      </c>
      <c r="I45" s="2"/>
      <c r="J45" s="9">
        <f>IF(main!$P$42,main!F127,main!$F$85)</f>
        <v>154.54545454545453</v>
      </c>
      <c r="K45" s="9">
        <f>IF(main!$P$42,main!J127,0)</f>
        <v>0.96826100150479544</v>
      </c>
      <c r="L45" s="2"/>
      <c r="M45" s="9">
        <f>IF(main!$P$44,main!F127,main!$F$85)</f>
        <v>154.54545454545453</v>
      </c>
      <c r="N45" s="9">
        <f>IF(main!$P$44,SUMPRODUCT(main!G127:J127*main!$G$83:$J$83),0)</f>
        <v>56.724785449562908</v>
      </c>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row>
    <row r="46" spans="1:245">
      <c r="A46" s="9">
        <f>IF(main!$P$39,main!F128,main!$F$85)</f>
        <v>157.27272727272725</v>
      </c>
      <c r="B46" s="9">
        <f>IF(main!$P$39,main!G128,0)</f>
        <v>58.343224276318466</v>
      </c>
      <c r="C46" s="2"/>
      <c r="D46" s="9">
        <f>IF(main!$P$40,main!F128,main!$F$85)</f>
        <v>39.999999999999922</v>
      </c>
      <c r="E46" s="9">
        <f>IF(main!$P$40,main!H128,0)</f>
        <v>0</v>
      </c>
      <c r="F46" s="2"/>
      <c r="G46" s="9">
        <f>IF(main!$P$41,main!F128,main!$F$85)</f>
        <v>39.999999999999922</v>
      </c>
      <c r="H46" s="9">
        <f>IF(main!$P$41,main!I128,0)</f>
        <v>0</v>
      </c>
      <c r="I46" s="2"/>
      <c r="J46" s="9">
        <f>IF(main!$P$42,main!F128,main!$F$85)</f>
        <v>157.27272727272725</v>
      </c>
      <c r="K46" s="9">
        <f>IF(main!$P$42,main!J128,0)</f>
        <v>0.778137774986013</v>
      </c>
      <c r="L46" s="2"/>
      <c r="M46" s="9">
        <f>IF(main!$P$44,main!F128,main!$F$85)</f>
        <v>157.27272727272725</v>
      </c>
      <c r="N46" s="9">
        <f>IF(main!$P$44,SUMPRODUCT(main!G128:J128*main!$G$83:$J$83),0)</f>
        <v>59.12136205130448</v>
      </c>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row>
    <row r="47" spans="1:245">
      <c r="A47" s="9">
        <f>IF(main!$P$39,main!F129,main!$F$85)</f>
        <v>159.99999999999997</v>
      </c>
      <c r="B47" s="9">
        <f>IF(main!$P$39,main!G129,0)</f>
        <v>60.945812840832488</v>
      </c>
      <c r="C47" s="2"/>
      <c r="D47" s="9">
        <f>IF(main!$P$40,main!F129,main!$F$85)</f>
        <v>39.999999999999922</v>
      </c>
      <c r="E47" s="9">
        <f>IF(main!$P$40,main!H129,0)</f>
        <v>0</v>
      </c>
      <c r="F47" s="2"/>
      <c r="G47" s="9">
        <f>IF(main!$P$41,main!F129,main!$F$85)</f>
        <v>39.999999999999922</v>
      </c>
      <c r="H47" s="9">
        <f>IF(main!$P$41,main!I129,0)</f>
        <v>0</v>
      </c>
      <c r="I47" s="2"/>
      <c r="J47" s="9">
        <f>IF(main!$P$42,main!F129,main!$F$85)</f>
        <v>159.99999999999997</v>
      </c>
      <c r="K47" s="9">
        <f>IF(main!$P$42,main!J129,0)</f>
        <v>0.62425853004752674</v>
      </c>
      <c r="L47" s="2"/>
      <c r="M47" s="9">
        <f>IF(main!$P$44,main!F129,main!$F$85)</f>
        <v>159.99999999999997</v>
      </c>
      <c r="N47" s="9">
        <f>IF(main!$P$44,SUMPRODUCT(main!G129:J129*main!$G$83:$J$83),0)</f>
        <v>61.570071370880015</v>
      </c>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row>
  </sheetData>
  <phoneticPr fontId="27" type="noConversion"/>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SaveSet">
                <anchor moveWithCells="1" sizeWithCells="1">
                  <from>
                    <xdr:col>15</xdr:col>
                    <xdr:colOff>50800</xdr:colOff>
                    <xdr:row>2</xdr:row>
                    <xdr:rowOff>88900</xdr:rowOff>
                  </from>
                  <to>
                    <xdr:col>18</xdr:col>
                    <xdr:colOff>114300</xdr:colOff>
                    <xdr:row>3</xdr:row>
                    <xdr:rowOff>107950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48</vt:i4>
      </vt:variant>
    </vt:vector>
  </HeadingPairs>
  <TitlesOfParts>
    <vt:vector size="53" baseType="lpstr">
      <vt:lpstr>Introduction</vt:lpstr>
      <vt:lpstr>main</vt:lpstr>
      <vt:lpstr>Help</vt:lpstr>
      <vt:lpstr>names</vt:lpstr>
      <vt:lpstr>Sheet1</vt:lpstr>
      <vt:lpstr>barrier_prem</vt:lpstr>
      <vt:lpstr>Call</vt:lpstr>
      <vt:lpstr>cdi</vt:lpstr>
      <vt:lpstr>cdo</vt:lpstr>
      <vt:lpstr>cui</vt:lpstr>
      <vt:lpstr>cuo</vt:lpstr>
      <vt:lpstr>epsilon</vt:lpstr>
      <vt:lpstr>error_message</vt:lpstr>
      <vt:lpstr>greek</vt:lpstr>
      <vt:lpstr>H</vt:lpstr>
      <vt:lpstr>H_2</vt:lpstr>
      <vt:lpstr>inc</vt:lpstr>
      <vt:lpstr>inf</vt:lpstr>
      <vt:lpstr>inputs</vt:lpstr>
      <vt:lpstr>K</vt:lpstr>
      <vt:lpstr>K_2</vt:lpstr>
      <vt:lpstr>load_set_number</vt:lpstr>
      <vt:lpstr>N_d1</vt:lpstr>
      <vt:lpstr>N_d2</vt:lpstr>
      <vt:lpstr>N_minus_d1</vt:lpstr>
      <vt:lpstr>N_minus_d2</vt:lpstr>
      <vt:lpstr>pdi</vt:lpstr>
      <vt:lpstr>pdo</vt:lpstr>
      <vt:lpstr>main!Print_Area</vt:lpstr>
      <vt:lpstr>pui</vt:lpstr>
      <vt:lpstr>puo</vt:lpstr>
      <vt:lpstr>q</vt:lpstr>
      <vt:lpstr>rebate</vt:lpstr>
      <vt:lpstr>rebate_2</vt:lpstr>
      <vt:lpstr>show_1</vt:lpstr>
      <vt:lpstr>show_2</vt:lpstr>
      <vt:lpstr>show_3</vt:lpstr>
      <vt:lpstr>show_4</vt:lpstr>
      <vt:lpstr>show_5</vt:lpstr>
      <vt:lpstr>spot_array</vt:lpstr>
      <vt:lpstr>test_protected</vt:lpstr>
      <vt:lpstr>top_analysis</vt:lpstr>
      <vt:lpstr>top_help</vt:lpstr>
      <vt:lpstr>type</vt:lpstr>
      <vt:lpstr>vary</vt:lpstr>
      <vt:lpstr>x_scale_max</vt:lpstr>
      <vt:lpstr>x_scale_min</vt:lpstr>
      <vt:lpstr>y_1</vt:lpstr>
      <vt:lpstr>y_2</vt:lpstr>
      <vt:lpstr>y_3</vt:lpstr>
      <vt:lpstr>y_4</vt:lpstr>
      <vt:lpstr>y_5</vt:lpstr>
      <vt:lpstr>y_values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tykoh</dc:creator>
  <cp:lastModifiedBy>Alex</cp:lastModifiedBy>
  <dcterms:created xsi:type="dcterms:W3CDTF">2011-11-28T00:08:09Z</dcterms:created>
  <dcterms:modified xsi:type="dcterms:W3CDTF">2020-12-20T21:52:33Z</dcterms:modified>
</cp:coreProperties>
</file>