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4.xml" ContentType="application/vnd.openxmlformats-officedocument.drawing+xml"/>
  <Override PartName="/xl/charts/chart13.xml" ContentType="application/vnd.openxmlformats-officedocument.drawingml.chart+xml"/>
  <Override PartName="/xl/drawings/drawing5.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codeName="ThisWorkbook" defaultThemeVersion="124226"/>
  <mc:AlternateContent xmlns:mc="http://schemas.openxmlformats.org/markup-compatibility/2006">
    <mc:Choice Requires="x15">
      <x15ac:absPath xmlns:x15ac="http://schemas.microsoft.com/office/spreadsheetml/2010/11/ac" url="C:\Users\Alex\Documents\website-production-newer\downloads\"/>
    </mc:Choice>
  </mc:AlternateContent>
  <xr:revisionPtr revIDLastSave="0" documentId="13_ncr:1_{F2E5A8C0-18AA-4690-BDB2-52D5F008743F}" xr6:coauthVersionLast="45" xr6:coauthVersionMax="45" xr10:uidLastSave="{00000000-0000-0000-0000-000000000000}"/>
  <workbookProtection workbookPassword="CE55" lockStructure="1"/>
  <bookViews>
    <workbookView xWindow="-120" yWindow="-18120" windowWidth="29040" windowHeight="17640" xr2:uid="{00000000-000D-0000-FFFF-FFFF00000000}"/>
  </bookViews>
  <sheets>
    <sheet name="Introduction" sheetId="83" r:id="rId1"/>
    <sheet name="Main" sheetId="1" r:id="rId2"/>
    <sheet name="Time varies" sheetId="82" r:id="rId3"/>
    <sheet name="Assumptions vary" sheetId="13" r:id="rId4"/>
    <sheet name="Sensitivities" sheetId="81" r:id="rId5"/>
    <sheet name="Attribution" sheetId="84" r:id="rId6"/>
    <sheet name="Charts" sheetId="77" state="hidden" r:id="rId7"/>
    <sheet name="Sens_hidden" sheetId="79" state="veryHidden" r:id="rId8"/>
    <sheet name="Names" sheetId="74" state="hidden" r:id="rId9"/>
  </sheets>
  <definedNames>
    <definedName name="assumptions_vary_error_msg">Main!$W$318</definedName>
    <definedName name="assumptions_vary_parameter">Main!$W$319</definedName>
    <definedName name="assumptions_vary_x_axis">Charts!$B$69:$B$80</definedName>
    <definedName name="attribution_index">Main!$C$173</definedName>
    <definedName name="base_year">Main!$C$22</definedName>
    <definedName name="chart_assumptions_choices">'Assumptions vary'!$J$5,'Assumptions vary'!$L$5</definedName>
    <definedName name="chart_attrib_area">Attribution!$H$6:$P$28</definedName>
    <definedName name="chart_attrib_series_1">OFFSET(Charts!$C$117,0,0,Charts!$I$118,1)</definedName>
    <definedName name="chart_attrib_series_2">OFFSET(Charts!$D$117,0,0,Charts!$I$118,1)</definedName>
    <definedName name="chart_attrib_series_3">OFFSET(Charts!$E$117,0,0,Charts!$I$118,1)</definedName>
    <definedName name="chart_attrib_series_4">OFFSET(Charts!$F$117,0,0,Charts!$I$118,1)</definedName>
    <definedName name="chart_attrib_x">OFFSET(Charts!$B$117,0,0,Charts!$I$118,1)</definedName>
    <definedName name="chart_attribution_choices">Attribution!$H$5,Attribution!$L$5</definedName>
    <definedName name="chart_custom_1_area">'Assumptions vary'!$B$96:$H$113</definedName>
    <definedName name="chart_custom_choices">'Assumptions vary'!$C$93:$C$95</definedName>
    <definedName name="chart_dates">OFFSET(chart_dates_start,0,0,1,chart_points)</definedName>
    <definedName name="chart_dates_start">Charts!$C$5</definedName>
    <definedName name="chart_gen_model_1_area">Main!$L$4:$P$19</definedName>
    <definedName name="chart_gen_model_2_area">'Time varies'!$G$8:$O$24</definedName>
    <definedName name="chart_gen_model_3_area">'Time varies'!$B$30:$G$47</definedName>
    <definedName name="chart_gen_model_4_area">'Time varies'!$I$30:$P$47</definedName>
    <definedName name="chart_growth_1_area">'Assumptions vary'!$B$27:$H$46</definedName>
    <definedName name="chart_growth_2_area">'Assumptions vary'!$J$27:$P$46</definedName>
    <definedName name="chart_growth_3_area">'Assumptions vary'!$B$49:$H$68</definedName>
    <definedName name="chart_growth_4_area">'Assumptions vary'!$J$49:$P$68</definedName>
    <definedName name="chart_growth_5_area">'Assumptions vary'!$B$71:$H$90</definedName>
    <definedName name="chart_growth_6_area">'Assumptions vary'!$J$71:$P$90</definedName>
    <definedName name="chart_growth_7_area">'Assumptions vary'!$B$96:$H$113</definedName>
    <definedName name="chart_parm_1_high">OFFSET(Sens_hidden!$B$6,0,0,1,phase_1_length)</definedName>
    <definedName name="chart_parm_dates">OFFSET(Sens_hidden!$B$2,0,0,1,chart_points+5)</definedName>
    <definedName name="chart_parm_values">OFFSET(Sens_hidden!$B$3,0,0,1,chart_points+5)</definedName>
    <definedName name="chart_percentage_choices">'Time varies'!$I$5:$I$7</definedName>
    <definedName name="chart_phase_1_dates">OFFSET(Sens_hidden!$B$2,0,0,1,IF(fade=0,chart_points+5,IF(sens_switch_de=1,chart_points,1)))</definedName>
    <definedName name="chart_phase_1_high_values">OFFSET(Sens_hidden!$B$8,0,0,1,IF(fade=0,chart_points+5,IF(sens_switch_de=1,chart_points,1)))</definedName>
    <definedName name="chart_phase_1_low_values">OFFSET(Sens_hidden!$B$9,0,0,1,IF(fade=0,chart_points+5,IF(sens_switch_de=1,chart_points,1)))</definedName>
    <definedName name="chart_phase_2_dates">OFFSET(Sens_hidden!$B$2,0,phase_1_length-1,1,IF(sens_switch_de=2,fade+5+1,1))</definedName>
    <definedName name="chart_phase_2_high_values">OFFSET(Sens_hidden!$B$10,0,phase_1_length-1,1,IF(sens_switch_de=2,fade+5+1,1))</definedName>
    <definedName name="chart_phase_2_low_values">OFFSET(Sens_hidden!$B$11,0,phase_1_length-1,1,IF(sens_switch_de=2,fade+5+1,1))</definedName>
    <definedName name="chart_points">Charts!$B$3</definedName>
    <definedName name="chart_ratios_choices">'Time varies'!$D$27:$D$29</definedName>
    <definedName name="chart_sens_1_area">'Assumptions vary'!$G$10:$P$24</definedName>
    <definedName name="chart_sens_2_area">Sensitivities!$F$6:$P$33</definedName>
    <definedName name="chart_sensitivity_choices">Sensitivities!$F$5,Sensitivities!$J$5</definedName>
    <definedName name="chart_values_choices">'Time varies'!$K$27:$K$29</definedName>
    <definedName name="chartable_items">Charts!$A$21:$A$47</definedName>
    <definedName name="charts_percentage_items">'Time varies'!$I$8:$I$23</definedName>
    <definedName name="charts_ratio_items">'Time varies'!$D$31:$D$44</definedName>
    <definedName name="charts_value_items">Charts!$G$32:$G$60</definedName>
    <definedName name="col_offset">Charts!$B$2</definedName>
    <definedName name="column_chart_choices">Main!$C:$C</definedName>
    <definedName name="column_chart_items">Main!$B:$B</definedName>
    <definedName name="comment">Names!$B$2</definedName>
    <definedName name="custom_1_data">OFFSET(assumptions_vary_x_axis,0,COLUMN(custom_column_1)-COLUMN(column_chart_items))</definedName>
    <definedName name="custom_2_data">OFFSET(assumptions_vary_x_axis,0,COLUMN(custom_column_2)-COLUMN(column_chart_items))</definedName>
    <definedName name="custom_3_data">OFFSET(assumptions_vary_x_axis,0,COLUMN(custom_column_3)-COLUMN(column_chart_items))</definedName>
    <definedName name="custom_column_1">Charts!$R:$R</definedName>
    <definedName name="custom_column_2">Charts!$T:$T</definedName>
    <definedName name="custom_column_3">Charts!$U:$U</definedName>
    <definedName name="custom_ghost_column">Charts!$V:$V</definedName>
    <definedName name="data_start_column">Charts!$C:$C</definedName>
    <definedName name="dt_threshold">Names!$B$4</definedName>
    <definedName name="epsilon">Names!$B$1</definedName>
    <definedName name="error_row">Main!$3:$3</definedName>
    <definedName name="fade">Main!$C$24</definedName>
    <definedName name="fade_zero_message">Names!$B$5</definedName>
    <definedName name="final">Names!$B$11</definedName>
    <definedName name="hyper_base_year">Main!$C$22</definedName>
    <definedName name="hyper_depn_rate">Main!$B$8</definedName>
    <definedName name="hyper_depn_rate2">'Assumptions vary'!$B$8</definedName>
    <definedName name="hyper_fade">Main!$C$24</definedName>
    <definedName name="hyper_first_phase">Main!$C$23</definedName>
    <definedName name="hyper_growth">Main!$B$12</definedName>
    <definedName name="hyper_growth2">'Assumptions vary'!$B$12</definedName>
    <definedName name="hyper_interest_margin">Main!$B$13</definedName>
    <definedName name="hyper_introduction">Introduction!$B$2</definedName>
    <definedName name="hyper_leverage">Main!$B$7</definedName>
    <definedName name="hyper_leverage2">'Assumptions vary'!$B$7</definedName>
    <definedName name="hyper_opening_assets">Main!$C$21</definedName>
    <definedName name="hyper_opening_assets2">'Assumptions vary'!$B$20</definedName>
    <definedName name="hyper_phase">Main!$B$5</definedName>
    <definedName name="hyper_risk_free_rate">Main!$B$10</definedName>
    <definedName name="hyper_risk_free_rate2">'Assumptions vary'!$B$10</definedName>
    <definedName name="hyper_roc">Main!$B$6</definedName>
    <definedName name="hyper_roc2">'Assumptions vary'!$B$6</definedName>
    <definedName name="hyper_roc3">Sensitivities!$B$6</definedName>
    <definedName name="hyper_scenario">Main!$C$25</definedName>
    <definedName name="hyper_tax_rate">Main!$B$9</definedName>
    <definedName name="hyper_tax_rate2">'Assumptions vary'!$B$9</definedName>
    <definedName name="hyper_unlevered_coe">Main!$B$11</definedName>
    <definedName name="hyper_unlevered_coe2">'Assumptions vary'!$B$11</definedName>
    <definedName name="initial">Names!$B$10</definedName>
    <definedName name="Interest_margin">Main!$C$15:$D$19</definedName>
    <definedName name="is_error">Names!$B$20</definedName>
    <definedName name="is_ok">Names!$B$19</definedName>
    <definedName name="last_row_1">Introduction!$31:$31</definedName>
    <definedName name="last_row_2">Main!$148:$148</definedName>
    <definedName name="last_row_3">'Time varies'!$55:$55</definedName>
    <definedName name="last_row_4">'Assumptions vary'!$121:$121</definedName>
    <definedName name="last_row_5">Sensitivities!$41:$41</definedName>
    <definedName name="last_row_6">Attribution!$37:$37</definedName>
    <definedName name="leverage_1_series_1">Main!$F$318:$F$329</definedName>
    <definedName name="leverage_1_series_2">Main!$I$318:$I$329</definedName>
    <definedName name="leverage_x">Main!$C$318:$C$329</definedName>
    <definedName name="magic_number">Names!$B$14</definedName>
    <definedName name="main_page_error">Names!$B$21</definedName>
    <definedName name="major_version">Names!$B$16</definedName>
    <definedName name="minor_version">Names!$B$17</definedName>
    <definedName name="n_a">Names!$B$3</definedName>
    <definedName name="period_table">Main!$A$217</definedName>
    <definedName name="phase_1_length">Main!$C$23</definedName>
    <definedName name="row_assets">Main!$B$48</definedName>
    <definedName name="row_borrowing">Main!$B$70</definedName>
    <definedName name="row_capex">Main!$B$76</definedName>
    <definedName name="row_capex_growth">Main!$B$75</definedName>
    <definedName name="row_capex_replacement">Main!$B$74</definedName>
    <definedName name="row_coe">Main!$B$44</definedName>
    <definedName name="row_coe_column">Main!$O:$O</definedName>
    <definedName name="row_coe_data">OFFSET(assumptions_vary_x_axis,0,COLUMN(row_coe_column)-COLUMN(column_chart_items))</definedName>
    <definedName name="row_coverage_ratio">Main!$B$117</definedName>
    <definedName name="row_debt">Main!$B$49</definedName>
    <definedName name="row_depn">Main!$B$54</definedName>
    <definedName name="row_depn_rate">Main!$B$34</definedName>
    <definedName name="row_depn_rate_phase_1">Main!$C$8</definedName>
    <definedName name="row_depn_rate_phase_2">Main!$D$8</definedName>
    <definedName name="row_depn_rate_x_axis">Charts!#REF!</definedName>
    <definedName name="row_dividends">Main!$B$69</definedName>
    <definedName name="row_ebit">Main!$B$55</definedName>
    <definedName name="row_ebitda">Main!$B$53</definedName>
    <definedName name="row_equity">Main!$B$50</definedName>
    <definedName name="row_equity_margin">Main!$B$37</definedName>
    <definedName name="row_equity_margin_phase_1">Main!$C$11</definedName>
    <definedName name="row_equity_margin_phase_2">Main!$D$11</definedName>
    <definedName name="row_equity_margin_x_axis">Charts!#REF!</definedName>
    <definedName name="row_ev_ebitda">Main!$B$120</definedName>
    <definedName name="row_ev_ebitda_column">Charts!$E:$E</definedName>
    <definedName name="row_ev_ebitda_data">OFFSET(assumptions_vary_x_axis,0,COLUMN(row_ev_ebitda_column)-COLUMN(column_chart_items))</definedName>
    <definedName name="row_ev_roc_data">OFFSET(assumptions_vary_x_axis,0,COLUMN(row_roc_column)-COLUMN(column_chart_items))</definedName>
    <definedName name="row_ev_roe_data">OFFSET(assumptions_vary_x_axis,0,COLUMN(row_roe_column)-COLUMN(column_chart_items))</definedName>
    <definedName name="row_eva">Main!$B$111</definedName>
    <definedName name="row_eva_aip">Main!$B$109</definedName>
    <definedName name="row_eva_check">Main!$B$114</definedName>
    <definedName name="row_eva_ga">Main!$B$110</definedName>
    <definedName name="row_fcfd">Main!$B$88</definedName>
    <definedName name="row_fcfe">Main!$B$87</definedName>
    <definedName name="row_fcfe_column">Charts!$L:$L</definedName>
    <definedName name="row_fcfe_data">OFFSET(assumptions_vary_x_axis,0,COLUMN(row_fcfe_column)-COLUMN(column_chart_items))</definedName>
    <definedName name="row_fcff">Main!$B$89</definedName>
    <definedName name="row_fcff_column">Charts!$M:$M</definedName>
    <definedName name="row_fcff_data">OFFSET(assumptions_vary_x_axis,0,COLUMN(row_fcff_column)-COLUMN(column_chart_items))</definedName>
    <definedName name="row_growth">Main!$B$38</definedName>
    <definedName name="row_growth_phase_1">Main!$C$12</definedName>
    <definedName name="row_growth_phase_2">Main!$D$12</definedName>
    <definedName name="row_growth_x_axis">Charts!#REF!</definedName>
    <definedName name="row_interest">Main!$B$56</definedName>
    <definedName name="row_interest_rate">Main!$B$103</definedName>
    <definedName name="row_interest_rate_column">Charts!$P:$P</definedName>
    <definedName name="row_interest_rate_data">OFFSET(assumptions_vary_x_axis,0,COLUMN(row_interest_rate_column)-COLUMN(column_chart_items))</definedName>
    <definedName name="row_leverage">Main!$B$33</definedName>
    <definedName name="row_leverage_phase_1">Main!$C$7</definedName>
    <definedName name="row_leverage_phase_2">Main!$D$7</definedName>
    <definedName name="row_mvd">Main!$B$93</definedName>
    <definedName name="row_mvd_column">Charts!$Q:$Q</definedName>
    <definedName name="row_mvd_data">OFFSET(assumptions_vary_x_axis,0,COLUMN(row_mvd_column)-COLUMN(column_chart_items))</definedName>
    <definedName name="row_mve">Main!$B$92</definedName>
    <definedName name="row_mve_column">Charts!$J:$J</definedName>
    <definedName name="row_mve_data">OFFSET(assumptions_vary_x_axis,0,COLUMN(row_mve_column)-COLUMN(column_chart_items))</definedName>
    <definedName name="row_mve_e">Main!$B$118</definedName>
    <definedName name="row_mve_e_column">Charts!$N:$N</definedName>
    <definedName name="row_mve_e_data">OFFSET(assumptions_vary_x_axis,0,COLUMN(row_mve_e_column)-COLUMN(column_chart_items))</definedName>
    <definedName name="row_mvf">Main!$B$94</definedName>
    <definedName name="row_mvf_column">Charts!$K:$K</definedName>
    <definedName name="row_mvf_data">OFFSET(assumptions_vary_x_axis,0,COLUMN(row_mvf_column)-COLUMN(column_chart_items))</definedName>
    <definedName name="row_mvf_f">Main!$B$119</definedName>
    <definedName name="row_mvf_f_column">Charts!$H:$H</definedName>
    <definedName name="row_mvf_f_data">OFFSET(assumptions_vary_x_axis,0,COLUMN(row_mvf_f_column)-COLUMN(column_chart_items))</definedName>
    <definedName name="row_net_profit">Main!$B$59</definedName>
    <definedName name="row_pe">Main!$B$121</definedName>
    <definedName name="row_pe_column">Charts!$D:$D</definedName>
    <definedName name="row_pe_data">OFFSET(assumptions_vary_x_axis,0,COLUMN(row_pe_column)-COLUMN(column_chart_items))</definedName>
    <definedName name="row_risk_free_rate">Main!$B$36</definedName>
    <definedName name="row_risk_free_rate_phase_1">Main!$C$10</definedName>
    <definedName name="row_risk_free_rate_phase_2">Main!$D$10</definedName>
    <definedName name="row_risk_free_rate_x_axis">Charts!#REF!</definedName>
    <definedName name="row_roc">Main!$B$32</definedName>
    <definedName name="row_roc_column">Charts!$I:$I</definedName>
    <definedName name="row_roc_data">OFFSET(assumptions_vary_x_axis,0,COLUMN(row_roc_column)-COLUMN(column_chart_items))</definedName>
    <definedName name="row_roc_phase_1">Main!$C$6</definedName>
    <definedName name="row_roc_phase_2">Main!$D$6</definedName>
    <definedName name="row_roc_x_axis">Charts!#REF!</definedName>
    <definedName name="row_roe">Main!$B$105</definedName>
    <definedName name="row_roe_column">Charts!$F:$F</definedName>
    <definedName name="row_roe_data">OFFSET(assumptions_vary_x_axis,0,COLUMN(row_roe_column)-COLUMN(column_chart_items))</definedName>
    <definedName name="row_tax">Main!$B$58</definedName>
    <definedName name="row_tax_rate">Main!$B$35</definedName>
    <definedName name="row_tax_rate_phase_1">Main!$C$9</definedName>
    <definedName name="row_tax_rate_phase_2">Main!$D$9</definedName>
    <definedName name="row_tax_rate_x_axis">Charts!#REF!</definedName>
    <definedName name="row_udf1">Main!$B$133</definedName>
    <definedName name="row_udf2">Main!$B$134</definedName>
    <definedName name="row_udf3">Main!$B$135</definedName>
    <definedName name="row_udf4">Main!$B$136</definedName>
    <definedName name="row_udf5">Main!$B$137</definedName>
    <definedName name="row_udf6">Main!$B$138</definedName>
    <definedName name="row_udf7">Main!$B$139</definedName>
    <definedName name="row_udf8">Main!$B$140</definedName>
    <definedName name="row_unlevered_coe">Main!$B$43</definedName>
    <definedName name="row_wacc">Main!$B$104</definedName>
    <definedName name="row_wacc_column">Charts!$G:$G</definedName>
    <definedName name="row_wacc_data">OFFSET(assumptions_vary_x_axis,0,COLUMN(row_wacc_column)-COLUMN(column_chart_items))</definedName>
    <definedName name="sens_chart_choices">Main!$I$334:$I$378</definedName>
    <definedName name="sens_chart_choices_2">Main!$G$334:$G$378</definedName>
    <definedName name="sens_shift">Names!$B$12</definedName>
    <definedName name="sens_switch_de">'Assumptions vary'!$M$22</definedName>
    <definedName name="series_1_anchor_1">Charts!$C$7</definedName>
    <definedName name="series_1_anchor_2">Charts!$C$8</definedName>
    <definedName name="series_1_anchor_3">Charts!$C$9</definedName>
    <definedName name="series_1_anchor_ghost">Charts!$C$13</definedName>
    <definedName name="series_1_data_1">OFFSET(series_1_anchor_1,0,0,1,chart_points)</definedName>
    <definedName name="series_1_data_2">OFFSET(series_1_anchor_2,0,0,1,chart_points)</definedName>
    <definedName name="series_1_data_3">OFFSET(series_1_anchor_3,0,0,1,chart_points)</definedName>
    <definedName name="series_1_ghost">OFFSET(series_1_anchor_ghost,0,0,1,chart_points)</definedName>
    <definedName name="series_1_legend_1">INDIRECT(series_1_name_1)</definedName>
    <definedName name="series_1_legend_2">INDIRECT(series_1_name_2)</definedName>
    <definedName name="series_1_legend_3">INDIRECT(series_1_name_3)</definedName>
    <definedName name="series_1_name_1">'Time varies'!$H$8</definedName>
    <definedName name="series_1_name_2">'Time varies'!$H$9</definedName>
    <definedName name="series_1_name_3">'Time varies'!$H$10</definedName>
    <definedName name="series_2_anchor_1">Charts!$C$15</definedName>
    <definedName name="series_2_anchor_2">Charts!$C$16</definedName>
    <definedName name="series_2_anchor_3">Charts!$C$17</definedName>
    <definedName name="series_2_anchor_ghost">Charts!$C$21</definedName>
    <definedName name="series_2_data_1">OFFSET(series_2_anchor_1,0,0,1,chart_points)</definedName>
    <definedName name="series_2_data_2">OFFSET(series_2_anchor_2,0,0,1,chart_points)</definedName>
    <definedName name="series_2_data_3">OFFSET(series_2_anchor_3,0,0,1,chart_points)</definedName>
    <definedName name="series_2_ghost">OFFSET(series_2_anchor_ghost,0,0,1,chart_points)</definedName>
    <definedName name="series_2_legend_1">INDIRECT(series_2_name_1)</definedName>
    <definedName name="series_2_legend_2">INDIRECT(series_2_name_2)</definedName>
    <definedName name="series_2_legend_3">INDIRECT(series_2_name_3)</definedName>
    <definedName name="series_2_name_1">'Time varies'!$C$31</definedName>
    <definedName name="series_2_name_2">'Time varies'!$C$32</definedName>
    <definedName name="series_2_name_3">'Time varies'!$C$33</definedName>
    <definedName name="series_3_anchor_1">Charts!$C$23</definedName>
    <definedName name="series_3_anchor_2">Charts!$C$24</definedName>
    <definedName name="series_3_anchor_3">Charts!$C$25</definedName>
    <definedName name="series_3_anchor_ghost">Charts!$C$29</definedName>
    <definedName name="series_3_data_1">OFFSET(series_3_anchor_1,0,0,1,chart_points)</definedName>
    <definedName name="series_3_data_2">OFFSET(series_3_anchor_2,0,0,1,chart_points)</definedName>
    <definedName name="series_3_data_3">OFFSET(series_3_anchor_3,0,0,1,chart_points)</definedName>
    <definedName name="series_3_ghost">OFFSET(series_3_anchor_ghost,0,0,1,chart_points)</definedName>
    <definedName name="series_3_legend_1">INDIRECT(series_3_name_1)</definedName>
    <definedName name="series_3_legend_2">INDIRECT(series_3_name_2)</definedName>
    <definedName name="series_3_legend_3">INDIRECT(series_3_name_3)</definedName>
    <definedName name="series_3_name_1">'Time varies'!$I$30</definedName>
    <definedName name="series_3_name_2">'Time varies'!$I$31</definedName>
    <definedName name="series_3_name_3">'Time varies'!$I$32</definedName>
    <definedName name="shift_index">Main!$C$172</definedName>
    <definedName name="test">OFFSET('Assumptions vary'!$R$12,'Assumptions vary'!$R$12,0)</definedName>
    <definedName name="test_data">Charts!$C$7:$I$7</definedName>
    <definedName name="the_error_was">Names!$B$22</definedName>
    <definedName name="title">Main!$F$1</definedName>
    <definedName name="title_growth_1">Charts!$B$106</definedName>
    <definedName name="title_growth_2">Charts!$B$107</definedName>
    <definedName name="title_growth_3">Charts!$B$108</definedName>
    <definedName name="title_growth_4">Charts!$B$109</definedName>
    <definedName name="title_growth_5">Charts!$B$110</definedName>
    <definedName name="title_growth_6">Charts!$B$111</definedName>
    <definedName name="top_1_series_2">Names!$E$3</definedName>
    <definedName name="top_y_scale">Names!$B$13</definedName>
    <definedName name="unlock_1">'Time varies'!$I$5:$L$7</definedName>
    <definedName name="unlock_10">Main!$F$19:$G$19</definedName>
    <definedName name="unlock_11">Main!$G$15:$H$19</definedName>
    <definedName name="unlock_12">Main!$I$19:$J$19</definedName>
    <definedName name="unlock_13">Main!$J$15:$K$19</definedName>
    <definedName name="unlock_14">Main!$C$21:$D$25</definedName>
    <definedName name="unlock_15">Main!$B$133:$IV$140</definedName>
    <definedName name="unlock_16">Main!$B$149:$N$150</definedName>
    <definedName name="unlock_17">'Time varies'!$B$56:$M$57</definedName>
    <definedName name="unlock_18">'Assumptions vary'!$B$122:$Q$123</definedName>
    <definedName name="unlock_19">Sensitivities!$B$42:$P$43</definedName>
    <definedName name="unlock_2">'Time varies'!$D$27:$G$29</definedName>
    <definedName name="unlock_20">'Assumptions vary'!$C$93:$F$95</definedName>
    <definedName name="unlock_21">Main!$B$128:$Q$129</definedName>
    <definedName name="unlock_22">Attribution!$H$5:$K$5</definedName>
    <definedName name="unlock_23">Attribution!$L$5:$M$5</definedName>
    <definedName name="unlock_3">'Time varies'!$K$27:$N$29</definedName>
    <definedName name="unlock_4">'Assumptions vary'!$J$5:$K$5</definedName>
    <definedName name="unlock_5">'Assumptions vary'!$L$5:$O$5</definedName>
    <definedName name="unlock_6">Sensitivities!$F$5:$I$5</definedName>
    <definedName name="unlock_7">Sensitivities!$J$5:$K$5</definedName>
    <definedName name="unlock_8">Main!$F$6:$H$12</definedName>
    <definedName name="unlock_9">Main!$I$6:$K$12</definedName>
    <definedName name="valutils_assumptions_vary">'Assumptions vary'!$B$4</definedName>
    <definedName name="valutils_attribution">Attribution!$B$4</definedName>
    <definedName name="valutils_av_comment">'Assumptions vary'!$B$122</definedName>
    <definedName name="valutils_av_cov">'Assumptions vary'!$C$18,'Assumptions vary'!$D$14:$D$18</definedName>
    <definedName name="valutils_av_global">'Assumptions vary'!$C$20:$C$24</definedName>
    <definedName name="valutils_av_params">'Assumptions vary'!$C$6:$D$12</definedName>
    <definedName name="valutils_main">Main!$C$4</definedName>
    <definedName name="valutils_main_comment">Main!$B$128</definedName>
    <definedName name="valutils_main_cov">Main!$C$19,Main!$D$15:$D$19</definedName>
    <definedName name="valutils_main_global">Main!$C$21:$C$25</definedName>
    <definedName name="valutils_main_params">Main!$C$6:$D$12</definedName>
    <definedName name="valutils_s_comment">Sensitivities!$B$42</definedName>
    <definedName name="valutils_s_cov">Sensitivities!$C$18,Sensitivities!$D$14:$D$18</definedName>
    <definedName name="valutils_s_global">Sensitivities!$C$20:$C$24</definedName>
    <definedName name="valutils_s_params">Sensitivities!$C$6:$D$12</definedName>
    <definedName name="valutils_scenario">Main!$C$4:$D$19</definedName>
    <definedName name="valutils_sensitivity_report">Sensitivities!$B$4</definedName>
    <definedName name="valutils_time_varies">'Time varies'!$B$4</definedName>
    <definedName name="valutils_tv_comment">'Time varies'!$B$56</definedName>
    <definedName name="valutils_tv_cov">'Time varies'!$C$18,'Time varies'!$D$14:$D$18</definedName>
    <definedName name="valutils_tv_global">'Time varies'!$C$20:$C$24</definedName>
    <definedName name="valutils_tv_params">'Time varies'!$C$6:$D$12</definedName>
    <definedName name="valutils_udf">Main!$B$133:$P$140</definedName>
    <definedName name="varies_parameter">'Assumptions vary'!$D$185</definedName>
    <definedName name="vary">Names!$B$7:$B$8</definedName>
    <definedName name="vary_parameter">OFFSET(Names!$B$7,0,0,IF(fade=0,1,2))</definedName>
  </definedNames>
  <calcPr calcId="181029"/>
</workbook>
</file>

<file path=xl/calcChain.xml><?xml version="1.0" encoding="utf-8"?>
<calcChain xmlns="http://schemas.openxmlformats.org/spreadsheetml/2006/main">
  <c r="I168" i="1" l="1"/>
  <c r="C164" i="1" s="1"/>
  <c r="C19" i="1" s="1"/>
  <c r="C18" i="13" s="1"/>
  <c r="H122" i="77"/>
  <c r="H123" i="77"/>
  <c r="H120" i="77"/>
  <c r="F382" i="1"/>
  <c r="F383" i="1" s="1"/>
  <c r="G384" i="1"/>
  <c r="G385" i="1"/>
  <c r="G382" i="1" s="1" a="1"/>
  <c r="G386" i="1"/>
  <c r="G387" i="1"/>
  <c r="G388" i="1"/>
  <c r="G389" i="1"/>
  <c r="G390" i="1"/>
  <c r="G391" i="1"/>
  <c r="G392" i="1"/>
  <c r="G393" i="1"/>
  <c r="G394" i="1"/>
  <c r="G395" i="1"/>
  <c r="G396" i="1"/>
  <c r="G397" i="1"/>
  <c r="G398" i="1"/>
  <c r="C185" i="13"/>
  <c r="G171" i="1" s="1"/>
  <c r="C28" i="1"/>
  <c r="D28" i="1"/>
  <c r="C29" i="1"/>
  <c r="C48" i="1"/>
  <c r="C99" i="1"/>
  <c r="C26" i="1"/>
  <c r="M22" i="13"/>
  <c r="C182" i="1"/>
  <c r="C184" i="1"/>
  <c r="C186" i="1"/>
  <c r="C187" i="1" s="1"/>
  <c r="I18" i="1"/>
  <c r="F35" i="84"/>
  <c r="C31" i="84"/>
  <c r="Q383" i="1"/>
  <c r="S383" i="1" s="1"/>
  <c r="C384" i="1"/>
  <c r="C385" i="1"/>
  <c r="C135" i="77"/>
  <c r="D135" i="77"/>
  <c r="E135" i="77"/>
  <c r="F135" i="77"/>
  <c r="C134" i="77"/>
  <c r="D134" i="77"/>
  <c r="E134" i="77"/>
  <c r="F134" i="77"/>
  <c r="B26" i="81"/>
  <c r="C24" i="82"/>
  <c r="B6" i="1"/>
  <c r="B342" i="1"/>
  <c r="B11" i="1"/>
  <c r="B7" i="1"/>
  <c r="B336" i="1"/>
  <c r="B12" i="1"/>
  <c r="B348" i="1" s="1"/>
  <c r="B9" i="1"/>
  <c r="B9" i="84"/>
  <c r="B118" i="77"/>
  <c r="N383" i="1"/>
  <c r="B8" i="1"/>
  <c r="B337" i="1"/>
  <c r="B10" i="1"/>
  <c r="B10" i="84" s="1"/>
  <c r="F18" i="1"/>
  <c r="C17" i="84" s="1"/>
  <c r="C163" i="1"/>
  <c r="C18" i="1" s="1"/>
  <c r="D182" i="1"/>
  <c r="D183" i="1" s="1"/>
  <c r="D184" i="1"/>
  <c r="D186" i="1"/>
  <c r="D187" i="1" s="1"/>
  <c r="F18" i="84"/>
  <c r="E18" i="84"/>
  <c r="F17" i="84"/>
  <c r="F16" i="84"/>
  <c r="F15" i="84"/>
  <c r="F14" i="84"/>
  <c r="D13" i="84"/>
  <c r="F13" i="84"/>
  <c r="C13" i="84"/>
  <c r="E13" i="84" s="1"/>
  <c r="F12" i="84"/>
  <c r="E12" i="84"/>
  <c r="F11" i="84"/>
  <c r="E11" i="84"/>
  <c r="F10" i="84"/>
  <c r="E10" i="84"/>
  <c r="F9" i="84"/>
  <c r="E9" i="84"/>
  <c r="F8" i="84"/>
  <c r="E8" i="84"/>
  <c r="F7" i="84"/>
  <c r="E7" i="84"/>
  <c r="F6" i="84"/>
  <c r="E6" i="84"/>
  <c r="D5" i="84"/>
  <c r="F5" i="84" s="1"/>
  <c r="C5" i="84"/>
  <c r="E5" i="84"/>
  <c r="I4" i="1"/>
  <c r="E4" i="84" s="1"/>
  <c r="C4" i="84"/>
  <c r="D18" i="84"/>
  <c r="C18" i="84"/>
  <c r="D17" i="84"/>
  <c r="D16" i="84"/>
  <c r="D15" i="84"/>
  <c r="D14" i="84"/>
  <c r="D12" i="84"/>
  <c r="C12" i="84"/>
  <c r="D11" i="84"/>
  <c r="C11" i="84"/>
  <c r="D10" i="84"/>
  <c r="C10" i="84"/>
  <c r="D9" i="84"/>
  <c r="C9" i="84"/>
  <c r="D8" i="84"/>
  <c r="C8" i="84"/>
  <c r="D7" i="84"/>
  <c r="C7" i="84"/>
  <c r="D6" i="84"/>
  <c r="C6" i="84"/>
  <c r="B24" i="84"/>
  <c r="C23" i="84"/>
  <c r="B23" i="84"/>
  <c r="C22" i="84"/>
  <c r="B22" i="84"/>
  <c r="C21" i="84"/>
  <c r="B21" i="84"/>
  <c r="C20" i="84"/>
  <c r="B20" i="84"/>
  <c r="B13" i="84"/>
  <c r="B8" i="84"/>
  <c r="B7" i="84"/>
  <c r="B6" i="84"/>
  <c r="B5" i="84"/>
  <c r="O1" i="84"/>
  <c r="J1" i="1"/>
  <c r="F1" i="84"/>
  <c r="B1" i="84"/>
  <c r="C4" i="1"/>
  <c r="C149" i="1" s="1"/>
  <c r="B343" i="1"/>
  <c r="B392" i="1"/>
  <c r="B344" i="1"/>
  <c r="C129" i="13"/>
  <c r="C130" i="13"/>
  <c r="C131" i="13"/>
  <c r="C132" i="13"/>
  <c r="C133" i="13"/>
  <c r="C134" i="13"/>
  <c r="C135" i="13"/>
  <c r="C136" i="13"/>
  <c r="C137" i="13"/>
  <c r="C138" i="13"/>
  <c r="C139" i="13"/>
  <c r="C140" i="13"/>
  <c r="C141" i="13"/>
  <c r="C142" i="13"/>
  <c r="C143" i="13"/>
  <c r="C144" i="13"/>
  <c r="C145" i="13"/>
  <c r="C146" i="13"/>
  <c r="C147" i="13"/>
  <c r="C148" i="13"/>
  <c r="C149" i="13"/>
  <c r="C150" i="13"/>
  <c r="C151" i="13"/>
  <c r="C152" i="13"/>
  <c r="C153" i="13"/>
  <c r="C154" i="13"/>
  <c r="C155" i="13"/>
  <c r="C156" i="13"/>
  <c r="C157" i="13"/>
  <c r="C158" i="13"/>
  <c r="C159" i="13"/>
  <c r="C160" i="13"/>
  <c r="C161" i="13"/>
  <c r="C162" i="13"/>
  <c r="C163" i="13"/>
  <c r="C164" i="13"/>
  <c r="C165" i="13"/>
  <c r="C166" i="13"/>
  <c r="C167" i="13"/>
  <c r="C168" i="13"/>
  <c r="C169" i="13"/>
  <c r="C170" i="13"/>
  <c r="C171" i="13"/>
  <c r="C172" i="13"/>
  <c r="C128" i="13"/>
  <c r="H129" i="13"/>
  <c r="V318" i="1"/>
  <c r="V319" i="1" s="1"/>
  <c r="F178" i="13"/>
  <c r="F179" i="13" s="1"/>
  <c r="F180" i="13" s="1"/>
  <c r="F181" i="13" s="1"/>
  <c r="F182" i="13" s="1"/>
  <c r="F183" i="13" s="1"/>
  <c r="B317" i="1"/>
  <c r="B68" i="77" s="1"/>
  <c r="B227" i="1"/>
  <c r="B237" i="1" s="1"/>
  <c r="B247" i="1" s="1"/>
  <c r="B257" i="1" s="1"/>
  <c r="B267" i="1"/>
  <c r="B277" i="1" s="1"/>
  <c r="B287" i="1" s="1"/>
  <c r="B113" i="77"/>
  <c r="F28" i="83"/>
  <c r="C24" i="83"/>
  <c r="B12" i="74"/>
  <c r="M203" i="1"/>
  <c r="M204" i="1"/>
  <c r="M205" i="1"/>
  <c r="M206" i="1"/>
  <c r="M207" i="1"/>
  <c r="M208" i="1"/>
  <c r="M209" i="1"/>
  <c r="M210" i="1"/>
  <c r="I203" i="1"/>
  <c r="I208" i="1"/>
  <c r="I204" i="1"/>
  <c r="I205" i="1"/>
  <c r="I206" i="1"/>
  <c r="I207" i="1"/>
  <c r="I209" i="1"/>
  <c r="I210" i="1"/>
  <c r="H204" i="1"/>
  <c r="H205" i="1"/>
  <c r="H206" i="1" s="1"/>
  <c r="H207" i="1" s="1"/>
  <c r="H208" i="1" s="1"/>
  <c r="H209" i="1" s="1"/>
  <c r="H210" i="1" s="1"/>
  <c r="O1" i="83"/>
  <c r="B1" i="81"/>
  <c r="B1" i="13"/>
  <c r="B1" i="82"/>
  <c r="O1" i="13"/>
  <c r="O1" i="81"/>
  <c r="O1" i="82"/>
  <c r="F1" i="83"/>
  <c r="F1" i="81"/>
  <c r="F1" i="13"/>
  <c r="F1" i="82"/>
  <c r="F53" i="82"/>
  <c r="F119" i="13"/>
  <c r="F39" i="81"/>
  <c r="C35" i="81"/>
  <c r="C115" i="13"/>
  <c r="C49" i="82"/>
  <c r="G6" i="13"/>
  <c r="B5" i="81"/>
  <c r="B5" i="82"/>
  <c r="B5" i="13"/>
  <c r="D5" i="1"/>
  <c r="G5" i="1"/>
  <c r="J5" i="1" s="1"/>
  <c r="C5" i="1"/>
  <c r="B13" i="13"/>
  <c r="B13" i="82"/>
  <c r="G84" i="77"/>
  <c r="F84" i="77" s="1"/>
  <c r="G85" i="77"/>
  <c r="F85" i="77" s="1"/>
  <c r="G86" i="77"/>
  <c r="F86" i="77" s="1"/>
  <c r="G87" i="77"/>
  <c r="F87" i="77" s="1"/>
  <c r="G88" i="77"/>
  <c r="F88" i="77" s="1"/>
  <c r="G89" i="77"/>
  <c r="F89" i="77" s="1"/>
  <c r="G90" i="77"/>
  <c r="F90" i="77" s="1"/>
  <c r="G91" i="77"/>
  <c r="F91" i="77" s="1"/>
  <c r="G92" i="77"/>
  <c r="F92" i="77" s="1"/>
  <c r="G93" i="77"/>
  <c r="F93" i="77" s="1"/>
  <c r="G94" i="77"/>
  <c r="F94" i="77" s="1"/>
  <c r="G95" i="77"/>
  <c r="F95" i="77" s="1"/>
  <c r="G96" i="77"/>
  <c r="F96" i="77" s="1"/>
  <c r="G97" i="77"/>
  <c r="F97" i="77" s="1"/>
  <c r="G98" i="77"/>
  <c r="F98" i="77" s="1"/>
  <c r="G99" i="77"/>
  <c r="F99" i="77" s="1"/>
  <c r="G100" i="77"/>
  <c r="F100" i="77" s="1"/>
  <c r="G101" i="77"/>
  <c r="F101" i="77" s="1"/>
  <c r="G102" i="77"/>
  <c r="F102" i="77" s="1"/>
  <c r="B3" i="77"/>
  <c r="K11" i="84"/>
  <c r="J11" i="84" s="1"/>
  <c r="C21" i="81"/>
  <c r="F336" i="1"/>
  <c r="D85" i="77" s="1"/>
  <c r="F337" i="1"/>
  <c r="D86" i="77" s="1"/>
  <c r="F338" i="1"/>
  <c r="D87" i="77" s="1"/>
  <c r="F339" i="1"/>
  <c r="D88" i="77" s="1"/>
  <c r="F340" i="1"/>
  <c r="D89" i="77" s="1"/>
  <c r="F341" i="1"/>
  <c r="D90" i="77" s="1"/>
  <c r="F342" i="1"/>
  <c r="D91" i="77" s="1"/>
  <c r="F343" i="1"/>
  <c r="D92" i="77" s="1"/>
  <c r="F344" i="1"/>
  <c r="D93" i="77" s="1"/>
  <c r="F345" i="1"/>
  <c r="D94" i="77" s="1"/>
  <c r="F346" i="1"/>
  <c r="D95" i="77" s="1"/>
  <c r="F347" i="1"/>
  <c r="D96" i="77" s="1"/>
  <c r="F348" i="1"/>
  <c r="D97" i="77" s="1"/>
  <c r="F349" i="1"/>
  <c r="D98" i="77" s="1"/>
  <c r="F350" i="1"/>
  <c r="D99" i="77" s="1"/>
  <c r="F351" i="1"/>
  <c r="D100" i="77" s="1"/>
  <c r="F352" i="1"/>
  <c r="D101" i="77" s="1"/>
  <c r="F353" i="1"/>
  <c r="D102" i="77" s="1"/>
  <c r="F335" i="1"/>
  <c r="D84" i="77" s="1"/>
  <c r="C23" i="13"/>
  <c r="W321" i="1"/>
  <c r="X318" i="1" s="1"/>
  <c r="W322" i="1"/>
  <c r="W73" i="77" s="1"/>
  <c r="W71" i="77"/>
  <c r="W75" i="77"/>
  <c r="W76" i="77"/>
  <c r="W77" i="77"/>
  <c r="W78" i="77"/>
  <c r="W79" i="77"/>
  <c r="W80" i="77"/>
  <c r="F334" i="1"/>
  <c r="E69" i="77"/>
  <c r="F69" i="77"/>
  <c r="G69" i="77"/>
  <c r="H69" i="77"/>
  <c r="I69" i="77"/>
  <c r="J69" i="77"/>
  <c r="K69" i="77"/>
  <c r="L69" i="77"/>
  <c r="M69" i="77"/>
  <c r="N69" i="77"/>
  <c r="O69" i="77"/>
  <c r="P69" i="77"/>
  <c r="Q69" i="77"/>
  <c r="R69" i="77"/>
  <c r="S69" i="77"/>
  <c r="T69" i="77"/>
  <c r="U69" i="77"/>
  <c r="E70" i="77"/>
  <c r="F70" i="77"/>
  <c r="G70" i="77"/>
  <c r="H70" i="77"/>
  <c r="I70" i="77"/>
  <c r="J70" i="77"/>
  <c r="K70" i="77"/>
  <c r="L70" i="77"/>
  <c r="M70" i="77"/>
  <c r="N70" i="77"/>
  <c r="O70" i="77"/>
  <c r="P70" i="77"/>
  <c r="Q70" i="77"/>
  <c r="R70" i="77"/>
  <c r="S70" i="77"/>
  <c r="T70" i="77"/>
  <c r="U70" i="77"/>
  <c r="E71" i="77"/>
  <c r="F71" i="77"/>
  <c r="G71" i="77"/>
  <c r="H71" i="77"/>
  <c r="I71" i="77"/>
  <c r="J71" i="77"/>
  <c r="K71" i="77"/>
  <c r="L71" i="77"/>
  <c r="M71" i="77"/>
  <c r="N71" i="77"/>
  <c r="O71" i="77"/>
  <c r="P71" i="77"/>
  <c r="Q71" i="77"/>
  <c r="R71" i="77"/>
  <c r="S71" i="77"/>
  <c r="T71" i="77"/>
  <c r="U71" i="77"/>
  <c r="E72" i="77"/>
  <c r="F72" i="77"/>
  <c r="G72" i="77"/>
  <c r="H72" i="77"/>
  <c r="I72" i="77"/>
  <c r="J72" i="77"/>
  <c r="K72" i="77"/>
  <c r="L72" i="77"/>
  <c r="M72" i="77"/>
  <c r="N72" i="77"/>
  <c r="O72" i="77"/>
  <c r="P72" i="77"/>
  <c r="Q72" i="77"/>
  <c r="R72" i="77"/>
  <c r="S72" i="77"/>
  <c r="T72" i="77"/>
  <c r="U72" i="77"/>
  <c r="E73" i="77"/>
  <c r="F73" i="77"/>
  <c r="G73" i="77"/>
  <c r="H73" i="77"/>
  <c r="I73" i="77"/>
  <c r="J73" i="77"/>
  <c r="K73" i="77"/>
  <c r="L73" i="77"/>
  <c r="M73" i="77"/>
  <c r="N73" i="77"/>
  <c r="O73" i="77"/>
  <c r="P73" i="77"/>
  <c r="Q73" i="77"/>
  <c r="R73" i="77"/>
  <c r="S73" i="77"/>
  <c r="T73" i="77"/>
  <c r="U73" i="77"/>
  <c r="E74" i="77"/>
  <c r="F74" i="77"/>
  <c r="G74" i="77"/>
  <c r="H74" i="77"/>
  <c r="I74" i="77"/>
  <c r="J74" i="77"/>
  <c r="K74" i="77"/>
  <c r="L74" i="77"/>
  <c r="M74" i="77"/>
  <c r="N74" i="77"/>
  <c r="O74" i="77"/>
  <c r="P74" i="77"/>
  <c r="Q74" i="77"/>
  <c r="R74" i="77"/>
  <c r="S74" i="77"/>
  <c r="T74" i="77"/>
  <c r="U74" i="77"/>
  <c r="E75" i="77"/>
  <c r="F75" i="77"/>
  <c r="G75" i="77"/>
  <c r="H75" i="77"/>
  <c r="I75" i="77"/>
  <c r="J75" i="77"/>
  <c r="K75" i="77"/>
  <c r="L75" i="77"/>
  <c r="M75" i="77"/>
  <c r="N75" i="77"/>
  <c r="O75" i="77"/>
  <c r="P75" i="77"/>
  <c r="Q75" i="77"/>
  <c r="R75" i="77"/>
  <c r="S75" i="77"/>
  <c r="T75" i="77"/>
  <c r="U75" i="77"/>
  <c r="E76" i="77"/>
  <c r="F76" i="77"/>
  <c r="G76" i="77"/>
  <c r="H76" i="77"/>
  <c r="I76" i="77"/>
  <c r="J76" i="77"/>
  <c r="K76" i="77"/>
  <c r="L76" i="77"/>
  <c r="M76" i="77"/>
  <c r="N76" i="77"/>
  <c r="O76" i="77"/>
  <c r="P76" i="77"/>
  <c r="Q76" i="77"/>
  <c r="R76" i="77"/>
  <c r="S76" i="77"/>
  <c r="T76" i="77"/>
  <c r="U76" i="77"/>
  <c r="E77" i="77"/>
  <c r="F77" i="77"/>
  <c r="G77" i="77"/>
  <c r="H77" i="77"/>
  <c r="I77" i="77"/>
  <c r="J77" i="77"/>
  <c r="K77" i="77"/>
  <c r="L77" i="77"/>
  <c r="M77" i="77"/>
  <c r="N77" i="77"/>
  <c r="O77" i="77"/>
  <c r="P77" i="77"/>
  <c r="Q77" i="77"/>
  <c r="R77" i="77"/>
  <c r="S77" i="77"/>
  <c r="T77" i="77"/>
  <c r="U77" i="77"/>
  <c r="E78" i="77"/>
  <c r="F78" i="77"/>
  <c r="G78" i="77"/>
  <c r="H78" i="77"/>
  <c r="I78" i="77"/>
  <c r="J78" i="77"/>
  <c r="K78" i="77"/>
  <c r="L78" i="77"/>
  <c r="M78" i="77"/>
  <c r="N78" i="77"/>
  <c r="O78" i="77"/>
  <c r="P78" i="77"/>
  <c r="Q78" i="77"/>
  <c r="R78" i="77"/>
  <c r="S78" i="77"/>
  <c r="T78" i="77"/>
  <c r="U78" i="77"/>
  <c r="E79" i="77"/>
  <c r="F79" i="77"/>
  <c r="G79" i="77"/>
  <c r="H79" i="77"/>
  <c r="I79" i="77"/>
  <c r="J79" i="77"/>
  <c r="K79" i="77"/>
  <c r="L79" i="77"/>
  <c r="M79" i="77"/>
  <c r="N79" i="77"/>
  <c r="O79" i="77"/>
  <c r="P79" i="77"/>
  <c r="Q79" i="77"/>
  <c r="R79" i="77"/>
  <c r="S79" i="77"/>
  <c r="T79" i="77"/>
  <c r="U79" i="77"/>
  <c r="E80" i="77"/>
  <c r="F80" i="77"/>
  <c r="G80" i="77"/>
  <c r="H80" i="77"/>
  <c r="I80" i="77"/>
  <c r="J80" i="77"/>
  <c r="K80" i="77"/>
  <c r="L80" i="77"/>
  <c r="M80" i="77"/>
  <c r="N80" i="77"/>
  <c r="O80" i="77"/>
  <c r="P80" i="77"/>
  <c r="Q80" i="77"/>
  <c r="R80" i="77"/>
  <c r="S80" i="77"/>
  <c r="T80" i="77"/>
  <c r="U80" i="77"/>
  <c r="D70" i="77"/>
  <c r="D71" i="77"/>
  <c r="D72" i="77"/>
  <c r="D73" i="77"/>
  <c r="D74" i="77"/>
  <c r="D75" i="77"/>
  <c r="D76" i="77"/>
  <c r="D77" i="77"/>
  <c r="D78" i="77"/>
  <c r="D79" i="77"/>
  <c r="D80" i="77"/>
  <c r="D69" i="77"/>
  <c r="E316" i="1"/>
  <c r="E67" i="77"/>
  <c r="F316" i="1"/>
  <c r="F67" i="77"/>
  <c r="G316" i="1"/>
  <c r="G67" i="77"/>
  <c r="H316" i="1"/>
  <c r="H67" i="77"/>
  <c r="I316" i="1"/>
  <c r="I67" i="77"/>
  <c r="J316" i="1"/>
  <c r="J67" i="77"/>
  <c r="K316" i="1"/>
  <c r="K67" i="77"/>
  <c r="L316" i="1"/>
  <c r="L67" i="77"/>
  <c r="M316" i="1"/>
  <c r="M67" i="77"/>
  <c r="N316" i="1"/>
  <c r="N67" i="77"/>
  <c r="O67" i="77"/>
  <c r="P67" i="77"/>
  <c r="Q67" i="77"/>
  <c r="S67" i="77"/>
  <c r="D316" i="1"/>
  <c r="D67" i="77"/>
  <c r="C22" i="81"/>
  <c r="C23" i="81"/>
  <c r="D5" i="81"/>
  <c r="C5" i="81"/>
  <c r="D5" i="82"/>
  <c r="C5" i="82"/>
  <c r="D5" i="13"/>
  <c r="C5" i="13"/>
  <c r="C24" i="13"/>
  <c r="C20" i="82"/>
  <c r="C24" i="81"/>
  <c r="C22" i="13"/>
  <c r="C21" i="13"/>
  <c r="C20" i="13"/>
  <c r="C23" i="82"/>
  <c r="C22" i="82"/>
  <c r="C21" i="82"/>
  <c r="H14" i="13"/>
  <c r="H22" i="13" s="1"/>
  <c r="D13" i="82"/>
  <c r="C13" i="82"/>
  <c r="D13" i="13"/>
  <c r="C13" i="13"/>
  <c r="I198" i="1"/>
  <c r="I199" i="1"/>
  <c r="I196" i="1"/>
  <c r="I197" i="1"/>
  <c r="F13" i="1"/>
  <c r="I13" i="1"/>
  <c r="H8" i="81"/>
  <c r="G198" i="1"/>
  <c r="G199" i="1"/>
  <c r="G196" i="1"/>
  <c r="G197" i="1"/>
  <c r="F199" i="1"/>
  <c r="H194" i="1"/>
  <c r="B94" i="13"/>
  <c r="B95" i="13"/>
  <c r="D194" i="1"/>
  <c r="C200" i="1"/>
  <c r="C199" i="1"/>
  <c r="G6" i="82"/>
  <c r="B28" i="82"/>
  <c r="I28" i="82" s="1"/>
  <c r="B27" i="82"/>
  <c r="I27" i="82"/>
  <c r="B24" i="82"/>
  <c r="B23" i="82"/>
  <c r="B22" i="82"/>
  <c r="B21" i="82"/>
  <c r="B20" i="82"/>
  <c r="B12" i="82"/>
  <c r="B10" i="82"/>
  <c r="B9" i="82"/>
  <c r="B8" i="82"/>
  <c r="B7" i="82"/>
  <c r="B6" i="82"/>
  <c r="B8" i="74"/>
  <c r="B7" i="74"/>
  <c r="B24" i="81"/>
  <c r="B23" i="81"/>
  <c r="B22" i="81"/>
  <c r="B21" i="81"/>
  <c r="C20" i="81"/>
  <c r="B20" i="81"/>
  <c r="D13" i="81"/>
  <c r="C13" i="81"/>
  <c r="B13" i="81"/>
  <c r="B11" i="81"/>
  <c r="B12" i="81"/>
  <c r="B10" i="81"/>
  <c r="B9" i="81"/>
  <c r="B8" i="81"/>
  <c r="B7" i="81"/>
  <c r="B6" i="81"/>
  <c r="C1" i="79"/>
  <c r="D1" i="79"/>
  <c r="E1" i="79"/>
  <c r="F1" i="79"/>
  <c r="G1" i="79" s="1"/>
  <c r="H1" i="79" s="1"/>
  <c r="B2" i="79"/>
  <c r="C2" i="79" s="1"/>
  <c r="D2" i="79" s="1"/>
  <c r="B21" i="13"/>
  <c r="B22" i="13"/>
  <c r="B23" i="13"/>
  <c r="B24" i="13"/>
  <c r="B20" i="13"/>
  <c r="B7" i="13"/>
  <c r="B8" i="13"/>
  <c r="B9" i="13"/>
  <c r="B12" i="13"/>
  <c r="B11" i="13"/>
  <c r="B6" i="13"/>
  <c r="A217" i="1"/>
  <c r="C335" i="1"/>
  <c r="C336" i="1" s="1"/>
  <c r="C337" i="1" s="1"/>
  <c r="C338" i="1" s="1"/>
  <c r="C339" i="1" s="1"/>
  <c r="C340" i="1" s="1"/>
  <c r="C341" i="1" s="1"/>
  <c r="C342" i="1" s="1"/>
  <c r="C343" i="1" s="1"/>
  <c r="C344" i="1" s="1"/>
  <c r="C345" i="1" s="1"/>
  <c r="C346" i="1" s="1"/>
  <c r="C347" i="1" s="1"/>
  <c r="C348" i="1" s="1"/>
  <c r="C349" i="1" s="1"/>
  <c r="C350" i="1" s="1"/>
  <c r="C351" i="1" s="1"/>
  <c r="C352" i="1" s="1"/>
  <c r="C353" i="1" s="1"/>
  <c r="A218" i="1"/>
  <c r="A219" i="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F5" i="1"/>
  <c r="I5" i="1"/>
  <c r="C5" i="77"/>
  <c r="D5" i="77" s="1"/>
  <c r="E5" i="77" s="1"/>
  <c r="F5" i="77" s="1"/>
  <c r="G5" i="77" s="1"/>
  <c r="H5" i="77" s="1"/>
  <c r="I5" i="77" s="1"/>
  <c r="J5" i="77" s="1"/>
  <c r="K5" i="77" s="1"/>
  <c r="L5" i="77" s="1"/>
  <c r="M5" i="77" s="1"/>
  <c r="N5" i="77" s="1"/>
  <c r="O5" i="77" s="1"/>
  <c r="P5" i="77" s="1"/>
  <c r="Q5" i="77" s="1"/>
  <c r="R5" i="77" s="1"/>
  <c r="S5" i="77" s="1"/>
  <c r="T5" i="77" s="1"/>
  <c r="U5" i="77" s="1"/>
  <c r="V5" i="77" s="1"/>
  <c r="A15" i="77"/>
  <c r="B2" i="77"/>
  <c r="H307" i="1"/>
  <c r="H311" i="1"/>
  <c r="B301" i="1"/>
  <c r="B302" i="1" s="1"/>
  <c r="B303" i="1"/>
  <c r="B304" i="1" s="1"/>
  <c r="C124" i="1"/>
  <c r="C11" i="79"/>
  <c r="B11" i="79"/>
  <c r="C10" i="79"/>
  <c r="B10" i="79"/>
  <c r="B122" i="13"/>
  <c r="B42" i="81"/>
  <c r="B56" i="82"/>
  <c r="G7" i="82"/>
  <c r="B29" i="82" s="1"/>
  <c r="I29" i="82"/>
  <c r="B92" i="77"/>
  <c r="J1" i="82"/>
  <c r="D185" i="13"/>
  <c r="F314" i="1"/>
  <c r="C315" i="1"/>
  <c r="C24" i="84"/>
  <c r="P384" i="1"/>
  <c r="N10" i="81"/>
  <c r="M10" i="81" s="1"/>
  <c r="D160" i="1"/>
  <c r="D15" i="1" s="1"/>
  <c r="F17" i="1"/>
  <c r="C162" i="1" s="1"/>
  <c r="C17" i="1" s="1"/>
  <c r="C16" i="84"/>
  <c r="D29" i="1"/>
  <c r="D46" i="1" s="1"/>
  <c r="D80" i="1" s="1"/>
  <c r="F16" i="1"/>
  <c r="F15" i="1" s="1"/>
  <c r="C161" i="1"/>
  <c r="C16" i="1" s="1"/>
  <c r="C15" i="82" s="1"/>
  <c r="C15" i="84"/>
  <c r="V69" i="77"/>
  <c r="B385" i="1"/>
  <c r="B85" i="77"/>
  <c r="B391" i="1"/>
  <c r="B91" i="77"/>
  <c r="C386" i="1"/>
  <c r="C168" i="1"/>
  <c r="C152" i="1" s="1"/>
  <c r="C7" i="1" s="1"/>
  <c r="C169" i="1"/>
  <c r="C157" i="1" s="1"/>
  <c r="C12" i="1" s="1"/>
  <c r="E168" i="1"/>
  <c r="C155" i="1" s="1"/>
  <c r="C10" i="1" s="1"/>
  <c r="C171" i="1"/>
  <c r="D176" i="1" s="1"/>
  <c r="E170" i="1"/>
  <c r="C153" i="1" s="1"/>
  <c r="C8" i="1" s="1"/>
  <c r="F198" i="1"/>
  <c r="B346" i="1"/>
  <c r="B395" i="1" s="1"/>
  <c r="B338" i="1"/>
  <c r="B335" i="1"/>
  <c r="B384" i="1" s="1"/>
  <c r="B84" i="77"/>
  <c r="B345" i="1"/>
  <c r="B387" i="1"/>
  <c r="B87" i="77"/>
  <c r="C387" i="1"/>
  <c r="C388" i="1"/>
  <c r="C389" i="1" s="1"/>
  <c r="C390" i="1" s="1"/>
  <c r="C391" i="1" s="1"/>
  <c r="D101" i="1"/>
  <c r="C14" i="84"/>
  <c r="C160" i="1"/>
  <c r="C15" i="1" s="1"/>
  <c r="B349" i="1" s="1"/>
  <c r="B98" i="77" s="1"/>
  <c r="F196" i="1"/>
  <c r="D163" i="1"/>
  <c r="D18" i="1" s="1"/>
  <c r="D17" i="13" s="1"/>
  <c r="D161" i="1"/>
  <c r="D16" i="1" s="1"/>
  <c r="C185" i="1"/>
  <c r="D162" i="1"/>
  <c r="D17" i="1" s="1"/>
  <c r="D16" i="81" s="1"/>
  <c r="D185" i="1"/>
  <c r="D164" i="1"/>
  <c r="D19" i="1" s="1"/>
  <c r="B386" i="1"/>
  <c r="B86" i="77"/>
  <c r="H199" i="1"/>
  <c r="E17" i="84"/>
  <c r="I17" i="1"/>
  <c r="B393" i="1"/>
  <c r="B93" i="77"/>
  <c r="F197" i="1"/>
  <c r="M195" i="1"/>
  <c r="J199" i="1" s="1"/>
  <c r="C208" i="1" s="1"/>
  <c r="C210" i="1"/>
  <c r="N203" i="1"/>
  <c r="C211" i="1" s="1"/>
  <c r="D124" i="1"/>
  <c r="E28" i="1"/>
  <c r="E124" i="1" s="1"/>
  <c r="J1" i="83"/>
  <c r="J1" i="84"/>
  <c r="J1" i="13"/>
  <c r="J1" i="81"/>
  <c r="B397" i="1"/>
  <c r="B97" i="77"/>
  <c r="B340" i="1"/>
  <c r="E29" i="1"/>
  <c r="E46" i="1"/>
  <c r="J195" i="1"/>
  <c r="J196" i="1"/>
  <c r="C205" i="1" s="1"/>
  <c r="B389" i="1"/>
  <c r="B89" i="77"/>
  <c r="E2" i="79"/>
  <c r="F2" i="79" s="1"/>
  <c r="G2" i="79" s="1"/>
  <c r="H2" i="79" s="1"/>
  <c r="C392" i="1"/>
  <c r="C393" i="1" s="1"/>
  <c r="C394" i="1" s="1"/>
  <c r="C395" i="1" s="1"/>
  <c r="C396" i="1" s="1"/>
  <c r="C397" i="1" s="1"/>
  <c r="C398" i="1" s="1"/>
  <c r="I2" i="79"/>
  <c r="J2" i="79" s="1"/>
  <c r="K2" i="79" s="1"/>
  <c r="L2" i="79"/>
  <c r="M2" i="79" s="1"/>
  <c r="N2" i="79" s="1"/>
  <c r="O2" i="79" s="1"/>
  <c r="P2" i="79" s="1"/>
  <c r="Q2" i="79" s="1"/>
  <c r="R2" i="79" s="1"/>
  <c r="S2" i="79" s="1"/>
  <c r="T2" i="79" s="1"/>
  <c r="U2" i="79" s="1"/>
  <c r="V2" i="79" s="1"/>
  <c r="W2" i="79" s="1"/>
  <c r="X2" i="79" s="1"/>
  <c r="Y2" i="79" s="1"/>
  <c r="Z2" i="79" s="1"/>
  <c r="I371" i="1"/>
  <c r="I342" i="1"/>
  <c r="I337" i="1"/>
  <c r="C53" i="77"/>
  <c r="H53" i="77"/>
  <c r="H39" i="77"/>
  <c r="C54" i="77"/>
  <c r="J11" i="82"/>
  <c r="J18" i="82"/>
  <c r="J23" i="82"/>
  <c r="J19" i="82"/>
  <c r="H55" i="77"/>
  <c r="C39" i="77"/>
  <c r="H49" i="77"/>
  <c r="H45" i="77"/>
  <c r="C35" i="77"/>
  <c r="H50" i="77"/>
  <c r="I375" i="1"/>
  <c r="C58" i="77"/>
  <c r="H52" i="77"/>
  <c r="I364" i="1"/>
  <c r="I344" i="1"/>
  <c r="I355" i="1"/>
  <c r="E31" i="82"/>
  <c r="F185" i="13"/>
  <c r="C46" i="77"/>
  <c r="C59" i="77"/>
  <c r="H35" i="77"/>
  <c r="C48" i="77"/>
  <c r="H56" i="77"/>
  <c r="H32" i="77"/>
  <c r="I346" i="1"/>
  <c r="C32" i="77"/>
  <c r="H38" i="77"/>
  <c r="E44" i="82"/>
  <c r="J14" i="82"/>
  <c r="H37" i="77"/>
  <c r="I347" i="1"/>
  <c r="C51" i="77"/>
  <c r="E34" i="82"/>
  <c r="J8" i="82"/>
  <c r="J13" i="82"/>
  <c r="I376" i="1"/>
  <c r="I367" i="1"/>
  <c r="J20" i="82"/>
  <c r="C52" i="77"/>
  <c r="B4" i="79"/>
  <c r="E37" i="82"/>
  <c r="C43" i="77"/>
  <c r="I360" i="1"/>
  <c r="I340" i="1"/>
  <c r="I343" i="1"/>
  <c r="H41" i="77"/>
  <c r="I374" i="1"/>
  <c r="H60" i="77"/>
  <c r="I338" i="1"/>
  <c r="I341" i="1"/>
  <c r="C50" i="77"/>
  <c r="I373" i="1"/>
  <c r="C44" i="77"/>
  <c r="I366" i="1"/>
  <c r="C61" i="77"/>
  <c r="H36" i="77"/>
  <c r="H57" i="77"/>
  <c r="I370" i="1"/>
  <c r="I369" i="1"/>
  <c r="I365" i="1"/>
  <c r="C40" i="77"/>
  <c r="H44" i="77"/>
  <c r="J17" i="82"/>
  <c r="H42" i="77"/>
  <c r="H34" i="77"/>
  <c r="I339" i="1"/>
  <c r="C36" i="77"/>
  <c r="I352" i="1"/>
  <c r="I363" i="1"/>
  <c r="E32" i="82"/>
  <c r="E35" i="82"/>
  <c r="C33" i="77"/>
  <c r="I372" i="1"/>
  <c r="H43" i="77"/>
  <c r="C34" i="77"/>
  <c r="I345" i="1"/>
  <c r="J10" i="82"/>
  <c r="C49" i="77"/>
  <c r="H59" i="77"/>
  <c r="J9" i="82"/>
  <c r="J15" i="82"/>
  <c r="I377" i="1"/>
  <c r="C42" i="77"/>
  <c r="I353" i="1"/>
  <c r="E42" i="82"/>
  <c r="E38" i="82"/>
  <c r="H48" i="77"/>
  <c r="C38" i="77"/>
  <c r="I362" i="1"/>
  <c r="I334" i="1"/>
  <c r="H51" i="77"/>
  <c r="I354" i="1"/>
  <c r="C45" i="77"/>
  <c r="E33" i="82"/>
  <c r="I336" i="1"/>
  <c r="I359" i="1"/>
  <c r="I348" i="1"/>
  <c r="H33" i="77"/>
  <c r="C60" i="77"/>
  <c r="I349" i="1"/>
  <c r="I335" i="1"/>
  <c r="C47" i="77"/>
  <c r="E36" i="82"/>
  <c r="C37" i="77"/>
  <c r="H58" i="77"/>
  <c r="H40" i="77"/>
  <c r="I357" i="1"/>
  <c r="C41" i="77"/>
  <c r="H46" i="77"/>
  <c r="I368" i="1"/>
  <c r="C55" i="77"/>
  <c r="E43" i="82"/>
  <c r="C57" i="77"/>
  <c r="H47" i="77"/>
  <c r="I378" i="1"/>
  <c r="I356" i="1"/>
  <c r="J16" i="82"/>
  <c r="E39" i="82"/>
  <c r="J12" i="82"/>
  <c r="E41" i="82"/>
  <c r="I350" i="1"/>
  <c r="I361" i="1"/>
  <c r="J22" i="82"/>
  <c r="J21" i="82"/>
  <c r="I351" i="1"/>
  <c r="H54" i="77"/>
  <c r="I358" i="1"/>
  <c r="C56" i="77"/>
  <c r="E40" i="82"/>
  <c r="D157" i="1" l="1"/>
  <c r="D12" i="1" s="1"/>
  <c r="D12" i="81" s="1"/>
  <c r="C18" i="81"/>
  <c r="D180" i="1"/>
  <c r="D153" i="1"/>
  <c r="D8" i="1" s="1"/>
  <c r="D8" i="13" s="1"/>
  <c r="I16" i="1"/>
  <c r="E16" i="84"/>
  <c r="H198" i="1"/>
  <c r="H197" i="1"/>
  <c r="E131" i="1"/>
  <c r="E80" i="1"/>
  <c r="E61" i="1"/>
  <c r="E101" i="1"/>
  <c r="I1" i="79"/>
  <c r="H9" i="79"/>
  <c r="H8" i="79"/>
  <c r="D61" i="1"/>
  <c r="B394" i="1"/>
  <c r="B94" i="77"/>
  <c r="E36" i="1"/>
  <c r="K195" i="1"/>
  <c r="J197" i="1" s="1"/>
  <c r="C206" i="1" s="1"/>
  <c r="N204" i="1"/>
  <c r="F28" i="1"/>
  <c r="D131" i="1"/>
  <c r="D152" i="1"/>
  <c r="D7" i="1" s="1"/>
  <c r="D7" i="81" s="1"/>
  <c r="B95" i="77"/>
  <c r="J203" i="1"/>
  <c r="B11" i="84"/>
  <c r="B347" i="1"/>
  <c r="B11" i="82"/>
  <c r="C46" i="1"/>
  <c r="D177" i="1"/>
  <c r="C170" i="1"/>
  <c r="C154" i="1" s="1"/>
  <c r="C9" i="1" s="1"/>
  <c r="E169" i="1"/>
  <c r="C156" i="1" s="1"/>
  <c r="C11" i="1" s="1"/>
  <c r="D37" i="1" s="1"/>
  <c r="C314" i="1"/>
  <c r="C318" i="1" s="1"/>
  <c r="C319" i="1" s="1"/>
  <c r="B10" i="13"/>
  <c r="B341" i="1"/>
  <c r="B12" i="84"/>
  <c r="B339" i="1"/>
  <c r="C183" i="1"/>
  <c r="G382" i="1"/>
  <c r="H395" i="1" s="1"/>
  <c r="F83" i="77"/>
  <c r="G83" i="77" s="1"/>
  <c r="N11" i="81" s="1"/>
  <c r="M11" i="81" s="1"/>
  <c r="B2" i="81" s="1"/>
  <c r="C303" i="1"/>
  <c r="C14" i="13"/>
  <c r="C176" i="1"/>
  <c r="C177" i="1" s="1"/>
  <c r="C304" i="1"/>
  <c r="X69" i="77"/>
  <c r="V70" i="77"/>
  <c r="V320" i="1"/>
  <c r="W323" i="1"/>
  <c r="W74" i="77" s="1"/>
  <c r="W72" i="77"/>
  <c r="D302" i="1"/>
  <c r="D16" i="82"/>
  <c r="C180" i="1"/>
  <c r="C181" i="1" s="1"/>
  <c r="D155" i="1"/>
  <c r="D10" i="1" s="1"/>
  <c r="D10" i="81" s="1"/>
  <c r="D17" i="81"/>
  <c r="D301" i="1"/>
  <c r="D16" i="13"/>
  <c r="D17" i="82"/>
  <c r="D304" i="1"/>
  <c r="D14" i="13"/>
  <c r="C17" i="82"/>
  <c r="C17" i="81"/>
  <c r="C17" i="13"/>
  <c r="B352" i="1"/>
  <c r="B101" i="77" s="1"/>
  <c r="C301" i="1"/>
  <c r="U383" i="1"/>
  <c r="F384" i="1"/>
  <c r="F385" i="1" s="1"/>
  <c r="F386" i="1" s="1"/>
  <c r="F387" i="1" s="1"/>
  <c r="F388" i="1" s="1"/>
  <c r="F389" i="1" s="1"/>
  <c r="F390" i="1" s="1"/>
  <c r="F391" i="1" s="1"/>
  <c r="F392" i="1" s="1"/>
  <c r="F393" i="1" s="1"/>
  <c r="F394" i="1" s="1"/>
  <c r="F395" i="1" s="1"/>
  <c r="F396" i="1" s="1"/>
  <c r="F397" i="1" s="1"/>
  <c r="F398" i="1" s="1"/>
  <c r="D14" i="81"/>
  <c r="R383" i="1"/>
  <c r="T383" i="1" s="1"/>
  <c r="D14" i="82"/>
  <c r="D33" i="1"/>
  <c r="C7" i="81"/>
  <c r="C7" i="13"/>
  <c r="E33" i="1"/>
  <c r="C7" i="82"/>
  <c r="C33" i="1"/>
  <c r="C34" i="1"/>
  <c r="C54" i="1" s="1"/>
  <c r="C65" i="1" s="1"/>
  <c r="C8" i="82"/>
  <c r="E34" i="1"/>
  <c r="C8" i="81"/>
  <c r="C8" i="13"/>
  <c r="D34" i="1"/>
  <c r="E162" i="13"/>
  <c r="E129" i="13"/>
  <c r="E143" i="13"/>
  <c r="E140" i="13"/>
  <c r="I32" i="82"/>
  <c r="I31" i="82"/>
  <c r="I30" i="82"/>
  <c r="E141" i="13"/>
  <c r="E142" i="13"/>
  <c r="E133" i="13"/>
  <c r="E153" i="13"/>
  <c r="E159" i="13"/>
  <c r="E130" i="13"/>
  <c r="E163" i="13"/>
  <c r="E164" i="13"/>
  <c r="I22" i="13"/>
  <c r="H23" i="13"/>
  <c r="E151" i="13"/>
  <c r="E148" i="13"/>
  <c r="C32" i="82"/>
  <c r="C33" i="82"/>
  <c r="C31" i="82"/>
  <c r="E152" i="13"/>
  <c r="E149" i="13"/>
  <c r="M335" i="1"/>
  <c r="M336" i="1"/>
  <c r="H121" i="77"/>
  <c r="E128" i="13"/>
  <c r="E160" i="13"/>
  <c r="E138" i="13"/>
  <c r="E156" i="13"/>
  <c r="E158" i="13"/>
  <c r="E167" i="13"/>
  <c r="E135" i="13"/>
  <c r="E169" i="13"/>
  <c r="E145" i="13"/>
  <c r="E132" i="13"/>
  <c r="E147" i="13"/>
  <c r="E168" i="13"/>
  <c r="E171" i="13"/>
  <c r="E137" i="13"/>
  <c r="E155" i="13"/>
  <c r="E134" i="13"/>
  <c r="E144" i="13"/>
  <c r="E154" i="13"/>
  <c r="E139" i="13"/>
  <c r="E150" i="13"/>
  <c r="E166" i="13"/>
  <c r="E161" i="13"/>
  <c r="E172" i="13"/>
  <c r="E170" i="13"/>
  <c r="H10" i="82"/>
  <c r="H8" i="82"/>
  <c r="H9" i="82"/>
  <c r="E131" i="13"/>
  <c r="E157" i="13"/>
  <c r="E136" i="13"/>
  <c r="E146" i="13"/>
  <c r="E165" i="13"/>
  <c r="C16" i="82"/>
  <c r="C16" i="13"/>
  <c r="B351" i="1"/>
  <c r="B100" i="77" s="1"/>
  <c r="C16" i="81"/>
  <c r="C302" i="1"/>
  <c r="C12" i="13"/>
  <c r="C38" i="1"/>
  <c r="C12" i="82"/>
  <c r="E38" i="1"/>
  <c r="D38" i="1"/>
  <c r="C12" i="81"/>
  <c r="D18" i="81"/>
  <c r="D18" i="13"/>
  <c r="D300" i="1"/>
  <c r="D18" i="82"/>
  <c r="D303" i="1"/>
  <c r="D15" i="81"/>
  <c r="D15" i="82"/>
  <c r="D15" i="13"/>
  <c r="C36" i="1"/>
  <c r="C10" i="81"/>
  <c r="C10" i="82"/>
  <c r="D36" i="1"/>
  <c r="C10" i="13"/>
  <c r="C15" i="13"/>
  <c r="C15" i="81"/>
  <c r="B350" i="1"/>
  <c r="B99" i="77" s="1"/>
  <c r="B353" i="1"/>
  <c r="B102" i="77" s="1"/>
  <c r="C18" i="82"/>
  <c r="C300" i="1"/>
  <c r="C14" i="81"/>
  <c r="C14" i="82"/>
  <c r="M16" i="13"/>
  <c r="C16" i="77" a="1"/>
  <c r="C3" i="79"/>
  <c r="D3" i="79"/>
  <c r="B5" i="79"/>
  <c r="B3" i="79"/>
  <c r="D12" i="13" l="1"/>
  <c r="H398" i="1"/>
  <c r="H386" i="1"/>
  <c r="D12" i="82"/>
  <c r="D181" i="1"/>
  <c r="H390" i="1"/>
  <c r="D156" i="1"/>
  <c r="D11" i="1" s="1"/>
  <c r="D11" i="82" s="1"/>
  <c r="C178" i="1"/>
  <c r="C179" i="1" s="1"/>
  <c r="C11" i="13"/>
  <c r="H387" i="1"/>
  <c r="H394" i="1"/>
  <c r="H388" i="1"/>
  <c r="H392" i="1"/>
  <c r="D8" i="81"/>
  <c r="E37" i="1"/>
  <c r="E43" i="1" s="1"/>
  <c r="C11" i="82"/>
  <c r="C37" i="1"/>
  <c r="C43" i="1" s="1"/>
  <c r="H389" i="1"/>
  <c r="H385" i="1"/>
  <c r="C74" i="1"/>
  <c r="B318" i="1"/>
  <c r="B69" i="77" s="1"/>
  <c r="B7" i="79" s="1"/>
  <c r="F11" i="79" s="1"/>
  <c r="C11" i="81"/>
  <c r="D43" i="1"/>
  <c r="D7" i="82"/>
  <c r="D8" i="82"/>
  <c r="D7" i="13"/>
  <c r="C35" i="1"/>
  <c r="C9" i="82"/>
  <c r="C9" i="81"/>
  <c r="D35" i="1"/>
  <c r="E35" i="1"/>
  <c r="C9" i="13"/>
  <c r="B90" i="77"/>
  <c r="B390" i="1"/>
  <c r="D178" i="1"/>
  <c r="D188" i="1" s="1"/>
  <c r="D189" i="1" s="1"/>
  <c r="D154" i="1"/>
  <c r="D9" i="1" s="1"/>
  <c r="B96" i="77"/>
  <c r="B396" i="1"/>
  <c r="D10" i="82"/>
  <c r="H393" i="1"/>
  <c r="H384" i="1"/>
  <c r="I396" i="1" s="1"/>
  <c r="H396" i="1"/>
  <c r="H397" i="1"/>
  <c r="B388" i="1"/>
  <c r="B88" i="77"/>
  <c r="C101" i="1"/>
  <c r="C131" i="1"/>
  <c r="C80" i="1"/>
  <c r="C61" i="1"/>
  <c r="F29" i="1"/>
  <c r="F46" i="1" s="1"/>
  <c r="G28" i="1"/>
  <c r="F124" i="1"/>
  <c r="I9" i="79"/>
  <c r="I8" i="79"/>
  <c r="J1" i="79"/>
  <c r="I15" i="1"/>
  <c r="E14" i="84" s="1"/>
  <c r="E15" i="84"/>
  <c r="H391" i="1"/>
  <c r="D10" i="13"/>
  <c r="X319" i="1"/>
  <c r="F36" i="1"/>
  <c r="V321" i="1"/>
  <c r="V71" i="77"/>
  <c r="Y383" i="1"/>
  <c r="F118" i="77" s="1"/>
  <c r="V383" i="1"/>
  <c r="X383" i="1"/>
  <c r="E118" i="77" s="1"/>
  <c r="F400" i="1"/>
  <c r="F401" i="1" s="1"/>
  <c r="C137" i="77" s="1"/>
  <c r="K12" i="84" s="1"/>
  <c r="J12" i="84" s="1"/>
  <c r="B2" i="84" s="1"/>
  <c r="C320" i="1"/>
  <c r="B319" i="1"/>
  <c r="B70" i="77" s="1"/>
  <c r="C50" i="1"/>
  <c r="M129" i="13"/>
  <c r="N129" i="13" s="1"/>
  <c r="T316" i="1" s="1"/>
  <c r="M130" i="13"/>
  <c r="N130" i="13" s="1"/>
  <c r="U316" i="1" s="1"/>
  <c r="M128" i="13"/>
  <c r="N128" i="13" s="1"/>
  <c r="R316" i="1" s="1"/>
  <c r="B111" i="77"/>
  <c r="B110" i="77"/>
  <c r="B108" i="77"/>
  <c r="B106" i="77"/>
  <c r="B107" i="77"/>
  <c r="B109" i="77"/>
  <c r="I297" i="1"/>
  <c r="I122" i="77"/>
  <c r="I123" i="77"/>
  <c r="C75" i="1"/>
  <c r="C70" i="1"/>
  <c r="L16" i="77"/>
  <c r="J16" i="77"/>
  <c r="S16" i="77"/>
  <c r="N16" i="77"/>
  <c r="C16" i="77"/>
  <c r="R16" i="77"/>
  <c r="I16" i="77"/>
  <c r="P16" i="77"/>
  <c r="U16" i="77"/>
  <c r="O16" i="77"/>
  <c r="M16" i="77"/>
  <c r="D16" i="77"/>
  <c r="E16" i="77"/>
  <c r="Q16" i="77"/>
  <c r="T16" i="77"/>
  <c r="V16" i="77"/>
  <c r="K16" i="77"/>
  <c r="I384" i="1" l="1"/>
  <c r="C188" i="1"/>
  <c r="C189" i="1" s="1"/>
  <c r="C191" i="1" s="1"/>
  <c r="C151" i="1" s="1"/>
  <c r="C6" i="1" s="1"/>
  <c r="E32" i="1" s="1"/>
  <c r="D11" i="13"/>
  <c r="F9" i="79"/>
  <c r="D11" i="81"/>
  <c r="D11" i="79"/>
  <c r="B9" i="79"/>
  <c r="C76" i="1"/>
  <c r="I394" i="1"/>
  <c r="G11" i="79"/>
  <c r="I11" i="79"/>
  <c r="C9" i="79"/>
  <c r="G9" i="79"/>
  <c r="E9" i="79"/>
  <c r="J11" i="79"/>
  <c r="H11" i="79"/>
  <c r="D9" i="79"/>
  <c r="E11" i="79"/>
  <c r="I389" i="1"/>
  <c r="I388" i="1"/>
  <c r="I390" i="1"/>
  <c r="I393" i="1"/>
  <c r="I391" i="1"/>
  <c r="F101" i="1"/>
  <c r="F61" i="1"/>
  <c r="F80" i="1"/>
  <c r="F131" i="1"/>
  <c r="I395" i="1"/>
  <c r="I386" i="1"/>
  <c r="I397" i="1"/>
  <c r="I398" i="1"/>
  <c r="K1" i="79"/>
  <c r="J9" i="79"/>
  <c r="J8" i="79"/>
  <c r="D9" i="82"/>
  <c r="D179" i="1"/>
  <c r="D191" i="1" s="1"/>
  <c r="D151" i="1" s="1"/>
  <c r="D6" i="1" s="1"/>
  <c r="D6" i="82" s="1"/>
  <c r="D9" i="13"/>
  <c r="D9" i="81"/>
  <c r="I392" i="1"/>
  <c r="I387" i="1"/>
  <c r="I385" i="1"/>
  <c r="H196" i="1"/>
  <c r="L195" i="1" s="1"/>
  <c r="J198" i="1" s="1"/>
  <c r="C207" i="1" s="1"/>
  <c r="H28" i="1"/>
  <c r="G46" i="1"/>
  <c r="G124" i="1"/>
  <c r="G29" i="1"/>
  <c r="F35" i="1"/>
  <c r="F34" i="1"/>
  <c r="F33" i="1"/>
  <c r="F38" i="1"/>
  <c r="F37" i="1"/>
  <c r="F43" i="1" s="1"/>
  <c r="V322" i="1"/>
  <c r="V72" i="77"/>
  <c r="X70" i="77"/>
  <c r="X320" i="1"/>
  <c r="H124" i="77"/>
  <c r="H125" i="77" s="1"/>
  <c r="B26" i="84" s="1"/>
  <c r="J384" i="1"/>
  <c r="C118" i="77"/>
  <c r="W383" i="1"/>
  <c r="D118" i="77" s="1"/>
  <c r="C82" i="1"/>
  <c r="C97" i="1"/>
  <c r="C49" i="1"/>
  <c r="C98" i="1" s="1"/>
  <c r="C321" i="1"/>
  <c r="B320" i="1"/>
  <c r="B71" i="77" s="1"/>
  <c r="I311" i="1"/>
  <c r="I302" i="1" s="1"/>
  <c r="I303" i="1" s="1"/>
  <c r="E303" i="1"/>
  <c r="E301" i="1"/>
  <c r="G311" i="1"/>
  <c r="E302" i="1"/>
  <c r="R67" i="77"/>
  <c r="U67" i="77"/>
  <c r="T67" i="77"/>
  <c r="I299" i="1"/>
  <c r="F16" i="77"/>
  <c r="E3" i="79"/>
  <c r="J389" i="1" l="1"/>
  <c r="J386" i="1"/>
  <c r="N386" i="1" s="1"/>
  <c r="Q386" i="1" s="1"/>
  <c r="J387" i="1"/>
  <c r="N387" i="1" s="1"/>
  <c r="Q387" i="1" s="1"/>
  <c r="S387" i="1" s="1"/>
  <c r="U387" i="1" s="1"/>
  <c r="C6" i="13"/>
  <c r="J392" i="1"/>
  <c r="N392" i="1" s="1"/>
  <c r="Q392" i="1" s="1"/>
  <c r="S392" i="1" s="1"/>
  <c r="D32" i="1"/>
  <c r="C32" i="1"/>
  <c r="C55" i="1" s="1"/>
  <c r="C53" i="1" s="1"/>
  <c r="O382" i="1"/>
  <c r="I118" i="77" s="1"/>
  <c r="C6" i="82"/>
  <c r="C6" i="81"/>
  <c r="F32" i="1"/>
  <c r="J395" i="1"/>
  <c r="N395" i="1" s="1"/>
  <c r="Q395" i="1" s="1"/>
  <c r="S395" i="1" s="1"/>
  <c r="J390" i="1"/>
  <c r="N390" i="1" s="1"/>
  <c r="Q390" i="1" s="1"/>
  <c r="S390" i="1" s="1"/>
  <c r="J391" i="1"/>
  <c r="N391" i="1" s="1"/>
  <c r="Q391" i="1" s="1"/>
  <c r="S391" i="1" s="1"/>
  <c r="D6" i="81"/>
  <c r="D6" i="13"/>
  <c r="K8" i="79"/>
  <c r="L1" i="79"/>
  <c r="K9" i="79"/>
  <c r="K11" i="79"/>
  <c r="J397" i="1"/>
  <c r="N397" i="1" s="1"/>
  <c r="Q397" i="1" s="1"/>
  <c r="S397" i="1" s="1"/>
  <c r="J396" i="1"/>
  <c r="N396" i="1" s="1"/>
  <c r="Q396" i="1" s="1"/>
  <c r="S396" i="1" s="1"/>
  <c r="J394" i="1"/>
  <c r="H29" i="1"/>
  <c r="I28" i="1"/>
  <c r="H125" i="1"/>
  <c r="J385" i="1"/>
  <c r="K385" i="1" s="1"/>
  <c r="B120" i="77" s="1"/>
  <c r="J398" i="1"/>
  <c r="N398" i="1" s="1"/>
  <c r="Q398" i="1" s="1"/>
  <c r="S398" i="1" s="1"/>
  <c r="G101" i="1"/>
  <c r="G131" i="1"/>
  <c r="G80" i="1"/>
  <c r="G61" i="1"/>
  <c r="J393" i="1"/>
  <c r="N393" i="1" s="1"/>
  <c r="Q393" i="1" s="1"/>
  <c r="S393" i="1" s="1"/>
  <c r="J388" i="1"/>
  <c r="K388" i="1" s="1"/>
  <c r="B123" i="77" s="1"/>
  <c r="J399" i="1"/>
  <c r="G32" i="1"/>
  <c r="G33" i="1"/>
  <c r="G35" i="1"/>
  <c r="G34" i="1"/>
  <c r="G38" i="1"/>
  <c r="G37" i="1"/>
  <c r="G36" i="1"/>
  <c r="I317" i="1"/>
  <c r="X321" i="1"/>
  <c r="X71" i="77"/>
  <c r="V323" i="1"/>
  <c r="V73" i="77"/>
  <c r="N384" i="1"/>
  <c r="Q384" i="1" s="1"/>
  <c r="K384" i="1"/>
  <c r="B119" i="77" s="1"/>
  <c r="K386" i="1"/>
  <c r="B121" i="77" s="1"/>
  <c r="K387" i="1"/>
  <c r="B122" i="77" s="1"/>
  <c r="N389" i="1"/>
  <c r="Q389" i="1" s="1"/>
  <c r="S389" i="1" s="1"/>
  <c r="U389" i="1" s="1"/>
  <c r="K389" i="1"/>
  <c r="B124" i="77" s="1"/>
  <c r="E308" i="1" a="1"/>
  <c r="E308" i="1" s="1"/>
  <c r="N385" i="1"/>
  <c r="Q385" i="1" s="1"/>
  <c r="C322" i="1"/>
  <c r="B321" i="1"/>
  <c r="B72" i="77" s="1"/>
  <c r="D49" i="1"/>
  <c r="D98" i="1" s="1"/>
  <c r="I300" i="1"/>
  <c r="J311" i="1" s="1"/>
  <c r="G16" i="77"/>
  <c r="F3" i="79"/>
  <c r="K398" i="1" l="1"/>
  <c r="B133" i="77" s="1"/>
  <c r="K394" i="1"/>
  <c r="B129" i="77" s="1"/>
  <c r="K393" i="1"/>
  <c r="B128" i="77" s="1"/>
  <c r="K392" i="1"/>
  <c r="B127" i="77" s="1"/>
  <c r="N388" i="1"/>
  <c r="Q388" i="1" s="1"/>
  <c r="S388" i="1" s="1"/>
  <c r="U388" i="1" s="1"/>
  <c r="N394" i="1"/>
  <c r="Q394" i="1" s="1"/>
  <c r="S394" i="1" s="1"/>
  <c r="K396" i="1"/>
  <c r="B131" i="77" s="1"/>
  <c r="G43" i="1"/>
  <c r="J28" i="1"/>
  <c r="I29" i="1"/>
  <c r="I46" i="1" s="1"/>
  <c r="I124" i="1"/>
  <c r="I126" i="1" s="1"/>
  <c r="I125" i="1"/>
  <c r="I92" i="1"/>
  <c r="I94" i="1" s="1"/>
  <c r="I93" i="1"/>
  <c r="K399" i="1"/>
  <c r="B134" i="77" s="1"/>
  <c r="K397" i="1"/>
  <c r="B132" i="77" s="1"/>
  <c r="H37" i="1"/>
  <c r="H33" i="1"/>
  <c r="H38" i="1"/>
  <c r="D199" i="1" s="1"/>
  <c r="H35" i="1"/>
  <c r="H34" i="1"/>
  <c r="H36" i="1"/>
  <c r="H32" i="1"/>
  <c r="K390" i="1"/>
  <c r="B125" i="77" s="1"/>
  <c r="K395" i="1"/>
  <c r="B130" i="77" s="1"/>
  <c r="K391" i="1"/>
  <c r="B126" i="77" s="1"/>
  <c r="H46" i="1"/>
  <c r="L9" i="79"/>
  <c r="M1" i="79"/>
  <c r="L8" i="79"/>
  <c r="L11" i="79"/>
  <c r="E309" i="1"/>
  <c r="I308" i="1" s="1"/>
  <c r="V74" i="77"/>
  <c r="V324" i="1"/>
  <c r="X322" i="1"/>
  <c r="X72" i="77"/>
  <c r="E310" i="1"/>
  <c r="G310" i="1" s="1"/>
  <c r="S385" i="1"/>
  <c r="U385" i="1" s="1"/>
  <c r="S386" i="1"/>
  <c r="U386" i="1" s="1"/>
  <c r="R384" i="1"/>
  <c r="S384" i="1"/>
  <c r="P385" i="1"/>
  <c r="P386" i="1" s="1"/>
  <c r="P387" i="1" s="1"/>
  <c r="C323" i="1"/>
  <c r="B322" i="1"/>
  <c r="B73" i="77" s="1"/>
  <c r="H310" i="1"/>
  <c r="C217" i="1"/>
  <c r="H308" i="1"/>
  <c r="G307" i="1"/>
  <c r="I307" i="1"/>
  <c r="H16" i="77"/>
  <c r="G3" i="79"/>
  <c r="I310" i="1" l="1"/>
  <c r="J310" i="1" s="1"/>
  <c r="I309" i="1"/>
  <c r="H309" i="1"/>
  <c r="H43" i="1"/>
  <c r="H3" i="79"/>
  <c r="I3" i="79" s="1"/>
  <c r="J3" i="79" s="1"/>
  <c r="K3" i="79" s="1"/>
  <c r="L3" i="79" s="1"/>
  <c r="M3" i="79" s="1"/>
  <c r="N3" i="79" s="1"/>
  <c r="O3" i="79" s="1"/>
  <c r="P3" i="79" s="1"/>
  <c r="Q3" i="79" s="1"/>
  <c r="R3" i="79" s="1"/>
  <c r="S3" i="79" s="1"/>
  <c r="T3" i="79" s="1"/>
  <c r="U3" i="79" s="1"/>
  <c r="V3" i="79" s="1"/>
  <c r="W3" i="79" s="1"/>
  <c r="X3" i="79" s="1"/>
  <c r="Y3" i="79" s="1"/>
  <c r="Z3" i="79" s="1"/>
  <c r="I80" i="1"/>
  <c r="I131" i="1"/>
  <c r="I101" i="1"/>
  <c r="I61" i="1"/>
  <c r="G308" i="1"/>
  <c r="J308" i="1" s="1"/>
  <c r="G309" i="1"/>
  <c r="I34" i="1"/>
  <c r="I114" i="1"/>
  <c r="I105" i="1"/>
  <c r="I38" i="1"/>
  <c r="I33" i="1"/>
  <c r="I118" i="1"/>
  <c r="I37" i="1"/>
  <c r="I43" i="1" s="1"/>
  <c r="I44" i="1" s="1"/>
  <c r="I32" i="1"/>
  <c r="I35" i="1"/>
  <c r="I36" i="1"/>
  <c r="I104" i="1"/>
  <c r="I120" i="1"/>
  <c r="I117" i="1"/>
  <c r="I119" i="1"/>
  <c r="H80" i="1"/>
  <c r="H131" i="1"/>
  <c r="H101" i="1"/>
  <c r="H61" i="1"/>
  <c r="K28" i="1"/>
  <c r="J29" i="1"/>
  <c r="J46" i="1" s="1"/>
  <c r="J124" i="1"/>
  <c r="J126" i="1" s="1"/>
  <c r="J125" i="1"/>
  <c r="M9" i="79"/>
  <c r="N1" i="79"/>
  <c r="M8" i="79"/>
  <c r="M11" i="79"/>
  <c r="V325" i="1"/>
  <c r="V75" i="77"/>
  <c r="X323" i="1"/>
  <c r="X73" i="77"/>
  <c r="R387" i="1"/>
  <c r="T387" i="1" s="1"/>
  <c r="P388" i="1"/>
  <c r="T384" i="1"/>
  <c r="U384" i="1"/>
  <c r="R385" i="1"/>
  <c r="T385" i="1" s="1"/>
  <c r="R386" i="1"/>
  <c r="T386" i="1" s="1"/>
  <c r="B323" i="1"/>
  <c r="B74" i="77" s="1"/>
  <c r="C324" i="1"/>
  <c r="C218" i="1"/>
  <c r="J307" i="1"/>
  <c r="I301" i="1" s="1"/>
  <c r="J309" i="1" l="1"/>
  <c r="J101" i="1"/>
  <c r="J61" i="1"/>
  <c r="J80" i="1"/>
  <c r="J131" i="1"/>
  <c r="K29" i="1"/>
  <c r="K46" i="1" s="1"/>
  <c r="K124" i="1"/>
  <c r="L28" i="1"/>
  <c r="K125" i="1"/>
  <c r="N9" i="79"/>
  <c r="O1" i="79"/>
  <c r="N8" i="79"/>
  <c r="N11" i="79"/>
  <c r="J33" i="1"/>
  <c r="J120" i="1"/>
  <c r="J32" i="1"/>
  <c r="J119" i="1"/>
  <c r="J104" i="1"/>
  <c r="J35" i="1"/>
  <c r="J38" i="1"/>
  <c r="J36" i="1"/>
  <c r="J114" i="1"/>
  <c r="J118" i="1"/>
  <c r="J34" i="1"/>
  <c r="J37" i="1"/>
  <c r="J43" i="1" s="1"/>
  <c r="J44" i="1" s="1"/>
  <c r="J117" i="1"/>
  <c r="J105" i="1"/>
  <c r="X74" i="77"/>
  <c r="X324" i="1"/>
  <c r="V326" i="1"/>
  <c r="V76" i="77"/>
  <c r="Y384" i="1"/>
  <c r="F119" i="77" s="1"/>
  <c r="X384" i="1"/>
  <c r="E119" i="77" s="1"/>
  <c r="V384" i="1"/>
  <c r="Y386" i="1"/>
  <c r="F121" i="77" s="1"/>
  <c r="V386" i="1"/>
  <c r="X386" i="1"/>
  <c r="E121" i="77" s="1"/>
  <c r="P389" i="1"/>
  <c r="R388" i="1"/>
  <c r="T388" i="1" s="1"/>
  <c r="V385" i="1"/>
  <c r="X385" i="1"/>
  <c r="E120" i="77" s="1"/>
  <c r="Y385" i="1"/>
  <c r="F120" i="77" s="1"/>
  <c r="V387" i="1"/>
  <c r="X387" i="1"/>
  <c r="E122" i="77" s="1"/>
  <c r="Y387" i="1"/>
  <c r="F122" i="77" s="1"/>
  <c r="C325" i="1"/>
  <c r="B324" i="1"/>
  <c r="B75" i="77" s="1"/>
  <c r="C220" i="1"/>
  <c r="C223" i="1"/>
  <c r="C221" i="1"/>
  <c r="C222" i="1"/>
  <c r="C219" i="1"/>
  <c r="K61" i="1" l="1"/>
  <c r="K80" i="1"/>
  <c r="K131" i="1"/>
  <c r="K101" i="1"/>
  <c r="O8" i="79"/>
  <c r="O9" i="79"/>
  <c r="P1" i="79"/>
  <c r="O11" i="79"/>
  <c r="L125" i="1"/>
  <c r="L124" i="1"/>
  <c r="L126" i="1" s="1"/>
  <c r="M28" i="1"/>
  <c r="L29" i="1"/>
  <c r="L46" i="1"/>
  <c r="K126" i="1"/>
  <c r="K35" i="1"/>
  <c r="K37" i="1"/>
  <c r="K43" i="1" s="1"/>
  <c r="K117" i="1"/>
  <c r="K105" i="1"/>
  <c r="K38" i="1"/>
  <c r="K104" i="1"/>
  <c r="K114" i="1"/>
  <c r="K34" i="1"/>
  <c r="K36" i="1"/>
  <c r="K120" i="1"/>
  <c r="K33" i="1"/>
  <c r="K32" i="1"/>
  <c r="K118" i="1"/>
  <c r="K119" i="1"/>
  <c r="V327" i="1"/>
  <c r="V77" i="77"/>
  <c r="X325" i="1"/>
  <c r="X75" i="77"/>
  <c r="W387" i="1"/>
  <c r="D122" i="77" s="1"/>
  <c r="C122" i="77"/>
  <c r="X388" i="1"/>
  <c r="E123" i="77" s="1"/>
  <c r="Y388" i="1"/>
  <c r="F123" i="77" s="1"/>
  <c r="V388" i="1"/>
  <c r="P390" i="1"/>
  <c r="R389" i="1"/>
  <c r="T389" i="1" s="1"/>
  <c r="W384" i="1"/>
  <c r="D119" i="77" s="1"/>
  <c r="C119" i="77"/>
  <c r="W385" i="1"/>
  <c r="D120" i="77" s="1"/>
  <c r="C120" i="77"/>
  <c r="W386" i="1"/>
  <c r="D121" i="77" s="1"/>
  <c r="C121" i="77"/>
  <c r="B325" i="1"/>
  <c r="B76" i="77" s="1"/>
  <c r="C326" i="1"/>
  <c r="C224" i="1"/>
  <c r="C225" i="1" s="1"/>
  <c r="C227" i="1" s="1"/>
  <c r="K44" i="1" l="1"/>
  <c r="L105" i="1"/>
  <c r="L38" i="1"/>
  <c r="L33" i="1"/>
  <c r="L34" i="1"/>
  <c r="L35" i="1"/>
  <c r="L37" i="1"/>
  <c r="L117" i="1"/>
  <c r="L32" i="1"/>
  <c r="L114" i="1"/>
  <c r="L36" i="1"/>
  <c r="L120" i="1"/>
  <c r="L104" i="1"/>
  <c r="L118" i="1"/>
  <c r="L119" i="1"/>
  <c r="M125" i="1"/>
  <c r="M29" i="1"/>
  <c r="M124" i="1"/>
  <c r="M126" i="1" s="1"/>
  <c r="N28" i="1"/>
  <c r="M46" i="1"/>
  <c r="P8" i="79"/>
  <c r="P9" i="79"/>
  <c r="Q1" i="79"/>
  <c r="P11" i="79"/>
  <c r="L80" i="1"/>
  <c r="L101" i="1"/>
  <c r="L131" i="1"/>
  <c r="L61" i="1"/>
  <c r="X326" i="1"/>
  <c r="X76" i="77"/>
  <c r="V78" i="77"/>
  <c r="V328" i="1"/>
  <c r="Y389" i="1"/>
  <c r="F124" i="77" s="1"/>
  <c r="V389" i="1"/>
  <c r="X389" i="1"/>
  <c r="E124" i="77" s="1"/>
  <c r="P391" i="1"/>
  <c r="R390" i="1"/>
  <c r="C123" i="77"/>
  <c r="W388" i="1"/>
  <c r="D123" i="77" s="1"/>
  <c r="C327" i="1"/>
  <c r="B326" i="1"/>
  <c r="B77" i="77" s="1"/>
  <c r="C228" i="1"/>
  <c r="C229" i="1" s="1"/>
  <c r="C235" i="1"/>
  <c r="C237" i="1" s="1"/>
  <c r="L43" i="1" l="1"/>
  <c r="L44" i="1" s="1"/>
  <c r="M80" i="1"/>
  <c r="M61" i="1"/>
  <c r="M131" i="1"/>
  <c r="M101" i="1"/>
  <c r="M119" i="1"/>
  <c r="M38" i="1"/>
  <c r="M105" i="1"/>
  <c r="M114" i="1"/>
  <c r="M117" i="1"/>
  <c r="M104" i="1"/>
  <c r="M120" i="1"/>
  <c r="M118" i="1"/>
  <c r="M33" i="1"/>
  <c r="M35" i="1"/>
  <c r="M34" i="1"/>
  <c r="M32" i="1"/>
  <c r="M37" i="1"/>
  <c r="M36" i="1"/>
  <c r="R1" i="79"/>
  <c r="Q9" i="79"/>
  <c r="Q8" i="79"/>
  <c r="Q11" i="79"/>
  <c r="N125" i="1"/>
  <c r="O28" i="1"/>
  <c r="N29" i="1"/>
  <c r="N46" i="1" s="1"/>
  <c r="N124" i="1"/>
  <c r="V79" i="77"/>
  <c r="V329" i="1"/>
  <c r="X77" i="77"/>
  <c r="X327" i="1"/>
  <c r="P392" i="1"/>
  <c r="R391" i="1"/>
  <c r="W389" i="1"/>
  <c r="D124" i="77" s="1"/>
  <c r="C124" i="77"/>
  <c r="T390" i="1"/>
  <c r="U390" i="1"/>
  <c r="B327" i="1"/>
  <c r="B78" i="77" s="1"/>
  <c r="C328" i="1"/>
  <c r="C238" i="1"/>
  <c r="C239" i="1" s="1"/>
  <c r="C245" i="1"/>
  <c r="C247" i="1" s="1"/>
  <c r="C231" i="1"/>
  <c r="C232" i="1"/>
  <c r="C233" i="1"/>
  <c r="C230" i="1"/>
  <c r="N61" i="1" l="1"/>
  <c r="N131" i="1"/>
  <c r="N101" i="1"/>
  <c r="N80" i="1"/>
  <c r="N104" i="1"/>
  <c r="N114" i="1"/>
  <c r="N36" i="1"/>
  <c r="N117" i="1"/>
  <c r="N119" i="1"/>
  <c r="N105" i="1"/>
  <c r="N37" i="1"/>
  <c r="N43" i="1" s="1"/>
  <c r="N35" i="1"/>
  <c r="N118" i="1"/>
  <c r="N34" i="1"/>
  <c r="N38" i="1"/>
  <c r="N33" i="1"/>
  <c r="N32" i="1"/>
  <c r="N120" i="1"/>
  <c r="N126" i="1"/>
  <c r="N44" i="1" s="1"/>
  <c r="O29" i="1"/>
  <c r="O124" i="1"/>
  <c r="O125" i="1"/>
  <c r="P28" i="1"/>
  <c r="M43" i="1"/>
  <c r="M44" i="1" s="1"/>
  <c r="R8" i="79"/>
  <c r="R9" i="79"/>
  <c r="S1" i="79"/>
  <c r="R11" i="79"/>
  <c r="X78" i="77"/>
  <c r="X328" i="1"/>
  <c r="V80" i="77"/>
  <c r="W317" i="1"/>
  <c r="T391" i="1"/>
  <c r="U391" i="1"/>
  <c r="Y390" i="1"/>
  <c r="F125" i="77" s="1"/>
  <c r="X390" i="1"/>
  <c r="E125" i="77" s="1"/>
  <c r="V390" i="1"/>
  <c r="P393" i="1"/>
  <c r="R392" i="1"/>
  <c r="B328" i="1"/>
  <c r="B79" i="77" s="1"/>
  <c r="C329" i="1"/>
  <c r="B329" i="1" s="1"/>
  <c r="B80" i="77" s="1"/>
  <c r="B6" i="79" s="1"/>
  <c r="C248" i="1"/>
  <c r="C249" i="1" s="1"/>
  <c r="C255" i="1"/>
  <c r="C257" i="1" s="1"/>
  <c r="C234" i="1"/>
  <c r="C242" i="1"/>
  <c r="C243" i="1"/>
  <c r="C240" i="1"/>
  <c r="C241" i="1"/>
  <c r="P125" i="1" l="1"/>
  <c r="P124" i="1"/>
  <c r="P126" i="1" s="1"/>
  <c r="P29" i="1"/>
  <c r="P46" i="1" s="1"/>
  <c r="O114" i="1"/>
  <c r="O119" i="1"/>
  <c r="O105" i="1"/>
  <c r="O36" i="1"/>
  <c r="O37" i="1"/>
  <c r="O43" i="1" s="1"/>
  <c r="O33" i="1"/>
  <c r="O38" i="1"/>
  <c r="O104" i="1"/>
  <c r="O34" i="1"/>
  <c r="O118" i="1"/>
  <c r="O117" i="1"/>
  <c r="O35" i="1"/>
  <c r="O120" i="1"/>
  <c r="O32" i="1"/>
  <c r="O46" i="1"/>
  <c r="S9" i="79"/>
  <c r="T1" i="79"/>
  <c r="S8" i="79"/>
  <c r="S11" i="79"/>
  <c r="O126" i="1"/>
  <c r="O44" i="1" s="1"/>
  <c r="W318" i="1"/>
  <c r="W319" i="1"/>
  <c r="W70" i="77" s="1"/>
  <c r="X329" i="1"/>
  <c r="X80" i="77" s="1"/>
  <c r="X79" i="77"/>
  <c r="M17" i="13"/>
  <c r="M18" i="13" s="1"/>
  <c r="M21" i="13" s="1"/>
  <c r="T392" i="1"/>
  <c r="U392" i="1"/>
  <c r="P394" i="1"/>
  <c r="R393" i="1"/>
  <c r="W390" i="1"/>
  <c r="D125" i="77" s="1"/>
  <c r="C125" i="77"/>
  <c r="X391" i="1"/>
  <c r="E126" i="77" s="1"/>
  <c r="Y391" i="1"/>
  <c r="F126" i="77" s="1"/>
  <c r="V391" i="1"/>
  <c r="D8" i="79"/>
  <c r="T10" i="79"/>
  <c r="R10" i="79"/>
  <c r="N10" i="79"/>
  <c r="F10" i="79"/>
  <c r="K10" i="79"/>
  <c r="B8" i="79"/>
  <c r="H10" i="79"/>
  <c r="D10" i="79"/>
  <c r="O10" i="79"/>
  <c r="M10" i="79"/>
  <c r="G8" i="79"/>
  <c r="E10" i="79"/>
  <c r="I10" i="79"/>
  <c r="S10" i="79"/>
  <c r="P10" i="79"/>
  <c r="Q10" i="79"/>
  <c r="G10" i="79"/>
  <c r="E8" i="79"/>
  <c r="J10" i="79"/>
  <c r="C8" i="79"/>
  <c r="F8" i="79"/>
  <c r="L10" i="79"/>
  <c r="M14" i="13"/>
  <c r="C244" i="1"/>
  <c r="C265" i="1"/>
  <c r="C267" i="1" s="1"/>
  <c r="C258" i="1"/>
  <c r="C251" i="1"/>
  <c r="C250" i="1"/>
  <c r="C252" i="1"/>
  <c r="C253" i="1"/>
  <c r="P131" i="1" l="1"/>
  <c r="P80" i="1"/>
  <c r="P101" i="1"/>
  <c r="P61" i="1"/>
  <c r="O131" i="1"/>
  <c r="O61" i="1"/>
  <c r="O101" i="1"/>
  <c r="O80" i="1"/>
  <c r="T8" i="79"/>
  <c r="U1" i="79"/>
  <c r="T9" i="79"/>
  <c r="T11" i="79"/>
  <c r="P120" i="1"/>
  <c r="P37" i="1"/>
  <c r="P36" i="1"/>
  <c r="P119" i="1"/>
  <c r="P33" i="1"/>
  <c r="P32" i="1"/>
  <c r="P105" i="1"/>
  <c r="P117" i="1"/>
  <c r="P34" i="1"/>
  <c r="P38" i="1"/>
  <c r="P35" i="1"/>
  <c r="P104" i="1"/>
  <c r="P114" i="1"/>
  <c r="P118" i="1"/>
  <c r="M20" i="13"/>
  <c r="W69" i="77"/>
  <c r="M23" i="13"/>
  <c r="B2" i="13" s="1"/>
  <c r="T393" i="1"/>
  <c r="U393" i="1"/>
  <c r="P395" i="1"/>
  <c r="R394" i="1"/>
  <c r="C126" i="77"/>
  <c r="W391" i="1"/>
  <c r="D126" i="77" s="1"/>
  <c r="Y392" i="1"/>
  <c r="F127" i="77" s="1"/>
  <c r="V392" i="1"/>
  <c r="X392" i="1"/>
  <c r="E127" i="77" s="1"/>
  <c r="C275" i="1"/>
  <c r="C277" i="1" s="1"/>
  <c r="C268" i="1"/>
  <c r="C269" i="1" s="1"/>
  <c r="C261" i="1"/>
  <c r="C262" i="1"/>
  <c r="C260" i="1"/>
  <c r="C263" i="1"/>
  <c r="C254" i="1"/>
  <c r="C259" i="1"/>
  <c r="P108" i="1" l="1"/>
  <c r="O108" i="1" s="1"/>
  <c r="N108" i="1" s="1"/>
  <c r="M108" i="1" s="1"/>
  <c r="L108" i="1" s="1"/>
  <c r="K108" i="1" s="1"/>
  <c r="J108" i="1" s="1"/>
  <c r="I108" i="1" s="1"/>
  <c r="P43" i="1"/>
  <c r="P44" i="1" s="1"/>
  <c r="U8" i="79"/>
  <c r="U9" i="79"/>
  <c r="V1" i="79"/>
  <c r="U11" i="79"/>
  <c r="U10" i="79"/>
  <c r="C127" i="77"/>
  <c r="W392" i="1"/>
  <c r="D127" i="77" s="1"/>
  <c r="U394" i="1"/>
  <c r="T394" i="1"/>
  <c r="P396" i="1"/>
  <c r="R395" i="1"/>
  <c r="V393" i="1"/>
  <c r="Y393" i="1"/>
  <c r="F128" i="77" s="1"/>
  <c r="X393" i="1"/>
  <c r="E128" i="77" s="1"/>
  <c r="C264" i="1"/>
  <c r="C270" i="1"/>
  <c r="C272" i="1"/>
  <c r="C273" i="1"/>
  <c r="C271" i="1"/>
  <c r="C278" i="1"/>
  <c r="C279" i="1" s="1"/>
  <c r="C285" i="1"/>
  <c r="C287" i="1" s="1"/>
  <c r="V8" i="79" l="1"/>
  <c r="W1" i="79"/>
  <c r="V9" i="79"/>
  <c r="V11" i="79"/>
  <c r="V10" i="79"/>
  <c r="X394" i="1"/>
  <c r="E129" i="77" s="1"/>
  <c r="Y394" i="1"/>
  <c r="F129" i="77" s="1"/>
  <c r="V394" i="1"/>
  <c r="C128" i="77"/>
  <c r="W393" i="1"/>
  <c r="D128" i="77" s="1"/>
  <c r="T395" i="1"/>
  <c r="U395" i="1"/>
  <c r="C274" i="1"/>
  <c r="R396" i="1"/>
  <c r="P397" i="1"/>
  <c r="C295" i="1"/>
  <c r="C215" i="1" s="1"/>
  <c r="C41" i="1" s="1"/>
  <c r="C288" i="1"/>
  <c r="C289" i="1" s="1"/>
  <c r="C281" i="1"/>
  <c r="C280" i="1"/>
  <c r="C282" i="1"/>
  <c r="C283" i="1"/>
  <c r="W8" i="79" l="1"/>
  <c r="X1" i="79"/>
  <c r="W9" i="79"/>
  <c r="W11" i="79"/>
  <c r="W10" i="79"/>
  <c r="C129" i="77"/>
  <c r="W394" i="1"/>
  <c r="D129" i="77" s="1"/>
  <c r="P398" i="1"/>
  <c r="R398" i="1" s="1"/>
  <c r="R397" i="1"/>
  <c r="Y395" i="1"/>
  <c r="F130" i="77" s="1"/>
  <c r="V395" i="1"/>
  <c r="X395" i="1"/>
  <c r="E130" i="77" s="1"/>
  <c r="T396" i="1"/>
  <c r="U396" i="1"/>
  <c r="C284" i="1"/>
  <c r="C290" i="1"/>
  <c r="C293" i="1"/>
  <c r="C291" i="1"/>
  <c r="C292" i="1"/>
  <c r="C42" i="1"/>
  <c r="C56" i="1"/>
  <c r="C103" i="1"/>
  <c r="P317" i="1" s="1"/>
  <c r="Y1" i="79" l="1"/>
  <c r="X9" i="79"/>
  <c r="X8" i="79"/>
  <c r="X11" i="79"/>
  <c r="X10" i="79"/>
  <c r="V396" i="1"/>
  <c r="X396" i="1"/>
  <c r="E131" i="77" s="1"/>
  <c r="Y396" i="1"/>
  <c r="F131" i="77" s="1"/>
  <c r="T397" i="1"/>
  <c r="U397" i="1"/>
  <c r="U398" i="1"/>
  <c r="T398" i="1"/>
  <c r="W395" i="1"/>
  <c r="D130" i="77" s="1"/>
  <c r="C130" i="77"/>
  <c r="C117" i="1"/>
  <c r="C88" i="1"/>
  <c r="C87" i="1"/>
  <c r="C57" i="1"/>
  <c r="C294" i="1"/>
  <c r="Z1" i="79" l="1"/>
  <c r="Y9" i="79"/>
  <c r="Y8" i="79"/>
  <c r="Y11" i="79"/>
  <c r="Y10" i="79"/>
  <c r="X397" i="1"/>
  <c r="E132" i="77" s="1"/>
  <c r="V397" i="1"/>
  <c r="Y397" i="1"/>
  <c r="F132" i="77" s="1"/>
  <c r="Y398" i="1"/>
  <c r="F133" i="77" s="1"/>
  <c r="X398" i="1"/>
  <c r="E133" i="77" s="1"/>
  <c r="V398" i="1"/>
  <c r="C131" i="77"/>
  <c r="W396" i="1"/>
  <c r="D131" i="77" s="1"/>
  <c r="C58" i="1"/>
  <c r="C59" i="1" s="1"/>
  <c r="L317" i="1"/>
  <c r="C89" i="1"/>
  <c r="M317" i="1" s="1"/>
  <c r="Z9" i="79" l="1"/>
  <c r="Z8" i="79"/>
  <c r="Z11" i="79"/>
  <c r="Z10" i="79"/>
  <c r="C133" i="77"/>
  <c r="W398" i="1"/>
  <c r="D133" i="77" s="1"/>
  <c r="C132" i="77"/>
  <c r="W397" i="1"/>
  <c r="D132" i="77" s="1"/>
  <c r="C105" i="1"/>
  <c r="F317" i="1" s="1"/>
  <c r="C64" i="1"/>
  <c r="C69" i="1"/>
  <c r="C71" i="1" s="1"/>
  <c r="C83" i="1" l="1"/>
  <c r="C84" i="1" s="1"/>
  <c r="C66" i="1"/>
  <c r="C78" i="1" s="1"/>
  <c r="D82" i="1" l="1"/>
  <c r="D50" i="1"/>
  <c r="D97" i="1" l="1"/>
  <c r="D48" i="1"/>
  <c r="D54" i="1" l="1"/>
  <c r="D65" i="1" s="1"/>
  <c r="D75" i="1"/>
  <c r="D55" i="1"/>
  <c r="D74" i="1"/>
  <c r="D70" i="1"/>
  <c r="D99" i="1"/>
  <c r="D76" i="1" l="1"/>
  <c r="D53" i="1"/>
  <c r="E49" i="1"/>
  <c r="D217" i="1" l="1"/>
  <c r="E98" i="1"/>
  <c r="D218" i="1" l="1"/>
  <c r="D219" i="1" s="1"/>
  <c r="D221" i="1" l="1"/>
  <c r="D220" i="1"/>
  <c r="D223" i="1"/>
  <c r="D222" i="1"/>
  <c r="D224" i="1" l="1"/>
  <c r="D225" i="1" s="1"/>
  <c r="D227" i="1" s="1"/>
  <c r="D235" i="1" l="1"/>
  <c r="D237" i="1" s="1"/>
  <c r="D228" i="1"/>
  <c r="D233" i="1" l="1"/>
  <c r="D230" i="1"/>
  <c r="D231" i="1"/>
  <c r="D232" i="1"/>
  <c r="D229" i="1"/>
  <c r="D238" i="1"/>
  <c r="D245" i="1"/>
  <c r="D247" i="1" s="1"/>
  <c r="D234" i="1" l="1"/>
  <c r="D248" i="1"/>
  <c r="D255" i="1"/>
  <c r="D257" i="1" s="1"/>
  <c r="D243" i="1"/>
  <c r="D242" i="1"/>
  <c r="D240" i="1"/>
  <c r="D241" i="1"/>
  <c r="D239" i="1"/>
  <c r="D265" i="1" l="1"/>
  <c r="D267" i="1" s="1"/>
  <c r="D258" i="1"/>
  <c r="D259" i="1" s="1"/>
  <c r="D253" i="1"/>
  <c r="D252" i="1"/>
  <c r="D251" i="1"/>
  <c r="D250" i="1"/>
  <c r="D244" i="1"/>
  <c r="D249" i="1"/>
  <c r="D254" i="1" l="1"/>
  <c r="D260" i="1"/>
  <c r="D263" i="1"/>
  <c r="D262" i="1"/>
  <c r="D261" i="1"/>
  <c r="D268" i="1"/>
  <c r="D269" i="1" s="1"/>
  <c r="D275" i="1"/>
  <c r="D277" i="1" s="1"/>
  <c r="D264" i="1" l="1"/>
  <c r="D278" i="1"/>
  <c r="D279" i="1" s="1"/>
  <c r="D285" i="1"/>
  <c r="D287" i="1" s="1"/>
  <c r="D270" i="1"/>
  <c r="D273" i="1"/>
  <c r="D272" i="1"/>
  <c r="D271" i="1"/>
  <c r="D295" i="1" l="1"/>
  <c r="D215" i="1" s="1"/>
  <c r="D41" i="1" s="1"/>
  <c r="D288" i="1"/>
  <c r="D281" i="1"/>
  <c r="D280" i="1"/>
  <c r="D283" i="1"/>
  <c r="D282" i="1"/>
  <c r="D274" i="1"/>
  <c r="D42" i="1" l="1"/>
  <c r="D103" i="1"/>
  <c r="D56" i="1"/>
  <c r="D293" i="1"/>
  <c r="D292" i="1"/>
  <c r="D291" i="1"/>
  <c r="D290" i="1"/>
  <c r="D284" i="1"/>
  <c r="D289" i="1"/>
  <c r="D294" i="1" l="1"/>
  <c r="D117" i="1"/>
  <c r="D87" i="1"/>
  <c r="D57" i="1"/>
  <c r="D88" i="1"/>
  <c r="D89" i="1" l="1"/>
  <c r="D58" i="1"/>
  <c r="D59" i="1" s="1"/>
  <c r="D64" i="1" l="1"/>
  <c r="D105" i="1"/>
  <c r="D69" i="1"/>
  <c r="D71" i="1" s="1"/>
  <c r="D83" i="1" l="1"/>
  <c r="D84" i="1" s="1"/>
  <c r="D66" i="1"/>
  <c r="D78" i="1" s="1"/>
  <c r="E50" i="1" l="1"/>
  <c r="E82" i="1"/>
  <c r="E97" i="1" l="1"/>
  <c r="E48" i="1"/>
  <c r="E54" i="1" l="1"/>
  <c r="E65" i="1" s="1"/>
  <c r="E99" i="1"/>
  <c r="E74" i="1"/>
  <c r="E55" i="1"/>
  <c r="E70" i="1"/>
  <c r="E75" i="1"/>
  <c r="E76" i="1" l="1"/>
  <c r="F49" i="1"/>
  <c r="E53" i="1"/>
  <c r="E217" i="1" l="1"/>
  <c r="F98" i="1"/>
  <c r="E218" i="1" l="1"/>
  <c r="E219" i="1" s="1"/>
  <c r="E222" i="1" l="1"/>
  <c r="E221" i="1"/>
  <c r="E220" i="1"/>
  <c r="E223" i="1"/>
  <c r="E224" i="1" l="1"/>
  <c r="E225" i="1" s="1"/>
  <c r="E227" i="1" s="1"/>
  <c r="E228" i="1" l="1"/>
  <c r="E229" i="1" s="1"/>
  <c r="E235" i="1"/>
  <c r="E237" i="1" s="1"/>
  <c r="E245" i="1" l="1"/>
  <c r="E247" i="1" s="1"/>
  <c r="E238" i="1"/>
  <c r="E230" i="1"/>
  <c r="E233" i="1"/>
  <c r="E232" i="1"/>
  <c r="E231" i="1"/>
  <c r="E234" i="1" l="1"/>
  <c r="E241" i="1"/>
  <c r="E240" i="1"/>
  <c r="E243" i="1"/>
  <c r="E242" i="1"/>
  <c r="E255" i="1"/>
  <c r="E257" i="1" s="1"/>
  <c r="E248" i="1"/>
  <c r="E249" i="1" s="1"/>
  <c r="E239" i="1"/>
  <c r="E244" i="1" l="1"/>
  <c r="E251" i="1"/>
  <c r="E250" i="1"/>
  <c r="E253" i="1"/>
  <c r="E252" i="1"/>
  <c r="E258" i="1"/>
  <c r="E265" i="1"/>
  <c r="E267" i="1" s="1"/>
  <c r="E254" i="1" l="1"/>
  <c r="E260" i="1"/>
  <c r="E263" i="1"/>
  <c r="E262" i="1"/>
  <c r="E261" i="1"/>
  <c r="E268" i="1"/>
  <c r="E275" i="1"/>
  <c r="E277" i="1" s="1"/>
  <c r="E259" i="1"/>
  <c r="E285" i="1" l="1"/>
  <c r="E287" i="1" s="1"/>
  <c r="E278" i="1"/>
  <c r="E271" i="1"/>
  <c r="E270" i="1"/>
  <c r="E273" i="1"/>
  <c r="E272" i="1"/>
  <c r="E269" i="1"/>
  <c r="E264" i="1"/>
  <c r="E283" i="1" l="1"/>
  <c r="E282" i="1"/>
  <c r="E281" i="1"/>
  <c r="E280" i="1"/>
  <c r="E295" i="1"/>
  <c r="E215" i="1" s="1"/>
  <c r="E41" i="1" s="1"/>
  <c r="E288" i="1"/>
  <c r="E289" i="1" s="1"/>
  <c r="E274" i="1"/>
  <c r="E279" i="1"/>
  <c r="E284" i="1" l="1"/>
  <c r="E291" i="1"/>
  <c r="E290" i="1"/>
  <c r="E293" i="1"/>
  <c r="E292" i="1"/>
  <c r="E42" i="1"/>
  <c r="E103" i="1"/>
  <c r="E56" i="1"/>
  <c r="E294" i="1" l="1"/>
  <c r="E117" i="1"/>
  <c r="E88" i="1"/>
  <c r="E87" i="1"/>
  <c r="E89" i="1" s="1"/>
  <c r="E57" i="1"/>
  <c r="E58" i="1" l="1"/>
  <c r="E59" i="1" s="1"/>
  <c r="E105" i="1" l="1"/>
  <c r="E64" i="1"/>
  <c r="E69" i="1"/>
  <c r="E71" i="1" s="1"/>
  <c r="E83" i="1" l="1"/>
  <c r="E84" i="1" s="1"/>
  <c r="E66" i="1"/>
  <c r="E78" i="1" s="1"/>
  <c r="F82" i="1" l="1"/>
  <c r="F50" i="1"/>
  <c r="F97" i="1" l="1"/>
  <c r="F48" i="1"/>
  <c r="F55" i="1" l="1"/>
  <c r="F74" i="1"/>
  <c r="F54" i="1"/>
  <c r="F65" i="1" s="1"/>
  <c r="F70" i="1"/>
  <c r="F75" i="1"/>
  <c r="F99" i="1"/>
  <c r="G49" i="1" l="1"/>
  <c r="F76" i="1"/>
  <c r="F53" i="1"/>
  <c r="G98" i="1" l="1"/>
  <c r="F217" i="1"/>
  <c r="F218" i="1" l="1"/>
  <c r="F223" i="1" l="1"/>
  <c r="F222" i="1"/>
  <c r="F221" i="1"/>
  <c r="F220" i="1"/>
  <c r="F219" i="1"/>
  <c r="F224" i="1" l="1"/>
  <c r="F225" i="1" s="1"/>
  <c r="F227" i="1" s="1"/>
  <c r="F228" i="1" l="1"/>
  <c r="F229" i="1" s="1"/>
  <c r="F235" i="1"/>
  <c r="F237" i="1" s="1"/>
  <c r="F238" i="1" l="1"/>
  <c r="F245" i="1"/>
  <c r="F247" i="1" s="1"/>
  <c r="F231" i="1"/>
  <c r="F232" i="1"/>
  <c r="F230" i="1"/>
  <c r="F233" i="1"/>
  <c r="F255" i="1" l="1"/>
  <c r="F257" i="1" s="1"/>
  <c r="F248" i="1"/>
  <c r="F234" i="1"/>
  <c r="F243" i="1"/>
  <c r="F242" i="1"/>
  <c r="F239" i="1"/>
  <c r="F253" i="1" l="1"/>
  <c r="F252" i="1"/>
  <c r="F249" i="1"/>
  <c r="F265" i="1"/>
  <c r="F267" i="1" s="1"/>
  <c r="F258" i="1"/>
  <c r="F259" i="1" s="1"/>
  <c r="F275" i="1" l="1"/>
  <c r="F277" i="1" s="1"/>
  <c r="F268" i="1"/>
  <c r="F269" i="1" s="1"/>
  <c r="F263" i="1"/>
  <c r="F262" i="1"/>
  <c r="F273" i="1" l="1"/>
  <c r="F272" i="1"/>
  <c r="F285" i="1"/>
  <c r="F287" i="1" s="1"/>
  <c r="F278" i="1"/>
  <c r="F279" i="1" s="1"/>
  <c r="F283" i="1" l="1"/>
  <c r="F282" i="1"/>
  <c r="F288" i="1"/>
  <c r="F289" i="1" s="1"/>
  <c r="F295" i="1"/>
  <c r="F215" i="1" s="1"/>
  <c r="F41" i="1" s="1"/>
  <c r="F103" i="1" l="1"/>
  <c r="F42" i="1"/>
  <c r="F56" i="1"/>
  <c r="F292" i="1"/>
  <c r="F293" i="1"/>
  <c r="F117" i="1" l="1"/>
  <c r="F88" i="1"/>
  <c r="F87" i="1"/>
  <c r="F57" i="1"/>
  <c r="F89" i="1" l="1"/>
  <c r="F58" i="1"/>
  <c r="F59" i="1" s="1"/>
  <c r="F64" i="1" l="1"/>
  <c r="F105" i="1"/>
  <c r="F69" i="1"/>
  <c r="F71" i="1" s="1"/>
  <c r="F83" i="1" l="1"/>
  <c r="F84" i="1" s="1"/>
  <c r="F66" i="1"/>
  <c r="F78" i="1" s="1"/>
  <c r="G50" i="1" l="1"/>
  <c r="G82" i="1"/>
  <c r="G97" i="1" l="1"/>
  <c r="G48" i="1"/>
  <c r="G55" i="1" l="1"/>
  <c r="G74" i="1"/>
  <c r="G99" i="1"/>
  <c r="G75" i="1"/>
  <c r="G70" i="1"/>
  <c r="G54" i="1"/>
  <c r="G65" i="1" s="1"/>
  <c r="G76" i="1" l="1"/>
  <c r="H49" i="1"/>
  <c r="G53" i="1"/>
  <c r="G217" i="1" l="1"/>
  <c r="H98" i="1"/>
  <c r="H70" i="1"/>
  <c r="G218" i="1" l="1"/>
  <c r="G219" i="1" s="1"/>
  <c r="G225" i="1"/>
  <c r="G227" i="1" s="1"/>
  <c r="I49" i="1"/>
  <c r="G228" i="1" l="1"/>
  <c r="G229" i="1" s="1"/>
  <c r="G235" i="1"/>
  <c r="G237" i="1" s="1"/>
  <c r="G221" i="1"/>
  <c r="G220" i="1"/>
  <c r="G223" i="1"/>
  <c r="G222" i="1"/>
  <c r="I98" i="1"/>
  <c r="I215" i="1"/>
  <c r="I41" i="1" s="1"/>
  <c r="I103" i="1" l="1"/>
  <c r="I42" i="1"/>
  <c r="G238" i="1"/>
  <c r="G239" i="1" s="1"/>
  <c r="G245" i="1"/>
  <c r="G247" i="1" s="1"/>
  <c r="I56" i="1"/>
  <c r="G224" i="1"/>
  <c r="G230" i="1"/>
  <c r="G233" i="1"/>
  <c r="G232" i="1"/>
  <c r="G231" i="1"/>
  <c r="G234" i="1" l="1"/>
  <c r="G241" i="1"/>
  <c r="G240" i="1"/>
  <c r="G243" i="1"/>
  <c r="G242" i="1"/>
  <c r="G255" i="1"/>
  <c r="G257" i="1" s="1"/>
  <c r="G248" i="1"/>
  <c r="G249" i="1" s="1"/>
  <c r="G244" i="1" l="1"/>
  <c r="G251" i="1"/>
  <c r="G250" i="1"/>
  <c r="G253" i="1"/>
  <c r="G252" i="1"/>
  <c r="G265" i="1"/>
  <c r="G267" i="1" s="1"/>
  <c r="G258" i="1"/>
  <c r="G260" i="1" l="1"/>
  <c r="G263" i="1"/>
  <c r="G262" i="1"/>
  <c r="G261" i="1"/>
  <c r="G268" i="1"/>
  <c r="G269" i="1" s="1"/>
  <c r="G275" i="1"/>
  <c r="G277" i="1" s="1"/>
  <c r="G254" i="1"/>
  <c r="G259" i="1"/>
  <c r="G278" i="1" l="1"/>
  <c r="G285" i="1"/>
  <c r="G287" i="1" s="1"/>
  <c r="G270" i="1"/>
  <c r="G273" i="1"/>
  <c r="G272" i="1"/>
  <c r="G271" i="1"/>
  <c r="G264" i="1"/>
  <c r="G274" i="1" l="1"/>
  <c r="G288" i="1"/>
  <c r="G295" i="1"/>
  <c r="G215" i="1" s="1"/>
  <c r="G41" i="1" s="1"/>
  <c r="G280" i="1"/>
  <c r="G283" i="1"/>
  <c r="G282" i="1"/>
  <c r="G281" i="1"/>
  <c r="G279" i="1"/>
  <c r="G103" i="1" l="1"/>
  <c r="G42" i="1"/>
  <c r="G56" i="1"/>
  <c r="G290" i="1"/>
  <c r="G293" i="1"/>
  <c r="G292" i="1"/>
  <c r="G291" i="1"/>
  <c r="G289" i="1"/>
  <c r="G284" i="1"/>
  <c r="G117" i="1" l="1"/>
  <c r="G87" i="1"/>
  <c r="G88" i="1"/>
  <c r="G57" i="1"/>
  <c r="G294" i="1"/>
  <c r="G58" i="1" l="1"/>
  <c r="G59" i="1" s="1"/>
  <c r="G89" i="1"/>
  <c r="G105" i="1" l="1"/>
  <c r="G64" i="1"/>
  <c r="G69" i="1"/>
  <c r="G71" i="1" s="1"/>
  <c r="G83" i="1" l="1"/>
  <c r="G84" i="1" s="1"/>
  <c r="G66" i="1"/>
  <c r="G78" i="1" s="1"/>
  <c r="H82" i="1" l="1"/>
  <c r="H50" i="1"/>
  <c r="H97" i="1" l="1"/>
  <c r="H48" i="1"/>
  <c r="H75" i="1" l="1"/>
  <c r="H55" i="1"/>
  <c r="H54" i="1"/>
  <c r="H65" i="1" s="1"/>
  <c r="H74" i="1"/>
  <c r="H99" i="1"/>
  <c r="H76" i="1" l="1"/>
  <c r="H53" i="1"/>
  <c r="H217" i="1" l="1"/>
  <c r="H225" i="1" l="1"/>
  <c r="H227" i="1" s="1"/>
  <c r="H218" i="1"/>
  <c r="H223" i="1" l="1"/>
  <c r="H222" i="1"/>
  <c r="H221" i="1"/>
  <c r="H220" i="1"/>
  <c r="H219" i="1"/>
  <c r="H228" i="1"/>
  <c r="H229" i="1" s="1"/>
  <c r="H235" i="1"/>
  <c r="H237" i="1" s="1"/>
  <c r="H224" i="1" l="1"/>
  <c r="H245" i="1"/>
  <c r="H247" i="1" s="1"/>
  <c r="H238" i="1"/>
  <c r="H231" i="1"/>
  <c r="H230" i="1"/>
  <c r="H233" i="1"/>
  <c r="H232" i="1"/>
  <c r="H241" i="1" l="1"/>
  <c r="H240" i="1"/>
  <c r="H243" i="1"/>
  <c r="H242" i="1"/>
  <c r="H239" i="1"/>
  <c r="H234" i="1"/>
  <c r="H248" i="1"/>
  <c r="H255" i="1"/>
  <c r="H257" i="1" s="1"/>
  <c r="H252" i="1" l="1"/>
  <c r="H251" i="1"/>
  <c r="H250" i="1"/>
  <c r="H253" i="1"/>
  <c r="H244" i="1"/>
  <c r="H265" i="1"/>
  <c r="H267" i="1" s="1"/>
  <c r="H258" i="1"/>
  <c r="H259" i="1" s="1"/>
  <c r="H249" i="1"/>
  <c r="H260" i="1" l="1"/>
  <c r="H263" i="1"/>
  <c r="H262" i="1"/>
  <c r="H261" i="1"/>
  <c r="H275" i="1"/>
  <c r="H277" i="1" s="1"/>
  <c r="H268" i="1"/>
  <c r="H269" i="1" s="1"/>
  <c r="H254" i="1"/>
  <c r="H273" i="1" l="1"/>
  <c r="H272" i="1"/>
  <c r="H271" i="1"/>
  <c r="H270" i="1"/>
  <c r="H278" i="1"/>
  <c r="H279" i="1" s="1"/>
  <c r="H285" i="1"/>
  <c r="H287" i="1" s="1"/>
  <c r="H264" i="1"/>
  <c r="H274" i="1" l="1"/>
  <c r="H295" i="1"/>
  <c r="H215" i="1" s="1"/>
  <c r="H41" i="1" s="1"/>
  <c r="H288" i="1"/>
  <c r="H289" i="1" s="1"/>
  <c r="H283" i="1"/>
  <c r="H282" i="1"/>
  <c r="H281" i="1"/>
  <c r="H280" i="1"/>
  <c r="H284" i="1" l="1"/>
  <c r="H292" i="1"/>
  <c r="H291" i="1"/>
  <c r="H290" i="1"/>
  <c r="H293" i="1"/>
  <c r="H42" i="1"/>
  <c r="H103" i="1"/>
  <c r="D202" i="1" s="1"/>
  <c r="C203" i="1" s="1"/>
  <c r="H56" i="1"/>
  <c r="H294" i="1" l="1"/>
  <c r="H117" i="1"/>
  <c r="H88" i="1"/>
  <c r="H93" i="1" s="1"/>
  <c r="G93" i="1" s="1"/>
  <c r="F93" i="1" s="1"/>
  <c r="E93" i="1" s="1"/>
  <c r="D93" i="1" s="1"/>
  <c r="C93" i="1" s="1"/>
  <c r="Q317" i="1" s="1"/>
  <c r="H57" i="1"/>
  <c r="H87" i="1"/>
  <c r="H89" i="1" l="1"/>
  <c r="H124" i="1"/>
  <c r="H126" i="1" s="1"/>
  <c r="H44" i="1" s="1"/>
  <c r="H58" i="1"/>
  <c r="H59" i="1" s="1"/>
  <c r="D200" i="1" l="1"/>
  <c r="C201" i="1" s="1"/>
  <c r="B201" i="1" s="1"/>
  <c r="B203" i="1" s="1"/>
  <c r="B205" i="1" s="1"/>
  <c r="B206" i="1" s="1"/>
  <c r="B207" i="1" s="1"/>
  <c r="B208" i="1" s="1"/>
  <c r="H105" i="1"/>
  <c r="H64" i="1"/>
  <c r="H69" i="1"/>
  <c r="H71" i="1" s="1"/>
  <c r="H92" i="1"/>
  <c r="H121" i="1" l="1"/>
  <c r="H66" i="1"/>
  <c r="H78" i="1" s="1"/>
  <c r="H83" i="1"/>
  <c r="H84" i="1" s="1"/>
  <c r="H94" i="1"/>
  <c r="H118" i="1"/>
  <c r="G125" i="1"/>
  <c r="G126" i="1" s="1"/>
  <c r="G44" i="1" s="1"/>
  <c r="H104" i="1"/>
  <c r="I50" i="1" l="1"/>
  <c r="I82" i="1"/>
  <c r="G92" i="1"/>
  <c r="H108" i="1"/>
  <c r="H109" i="1" s="1"/>
  <c r="H111" i="1"/>
  <c r="H120" i="1"/>
  <c r="H119" i="1"/>
  <c r="G94" i="1" l="1"/>
  <c r="G118" i="1"/>
  <c r="F125" i="1"/>
  <c r="F126" i="1" s="1"/>
  <c r="F44" i="1" s="1"/>
  <c r="F92" i="1" s="1"/>
  <c r="G121" i="1"/>
  <c r="G104" i="1"/>
  <c r="H114" i="1"/>
  <c r="H110" i="1"/>
  <c r="I97" i="1"/>
  <c r="I48" i="1"/>
  <c r="F94" i="1" l="1"/>
  <c r="F118" i="1"/>
  <c r="E125" i="1"/>
  <c r="E126" i="1" s="1"/>
  <c r="E44" i="1" s="1"/>
  <c r="F121" i="1"/>
  <c r="G108" i="1"/>
  <c r="G109" i="1" s="1"/>
  <c r="G111" i="1"/>
  <c r="I54" i="1"/>
  <c r="I65" i="1" s="1"/>
  <c r="I74" i="1"/>
  <c r="I70" i="1"/>
  <c r="I75" i="1"/>
  <c r="I109" i="1"/>
  <c r="I55" i="1"/>
  <c r="I99" i="1"/>
  <c r="G120" i="1"/>
  <c r="G119" i="1"/>
  <c r="F104" i="1"/>
  <c r="F108" i="1" l="1"/>
  <c r="F109" i="1" s="1"/>
  <c r="F111" i="1"/>
  <c r="G110" i="1"/>
  <c r="G114" i="1"/>
  <c r="I87" i="1"/>
  <c r="I57" i="1"/>
  <c r="I53" i="1"/>
  <c r="I88" i="1"/>
  <c r="J49" i="1"/>
  <c r="F119" i="1"/>
  <c r="F120" i="1"/>
  <c r="I76" i="1"/>
  <c r="E92" i="1"/>
  <c r="I89" i="1" l="1"/>
  <c r="E118" i="1"/>
  <c r="E94" i="1"/>
  <c r="D125" i="1"/>
  <c r="D126" i="1" s="1"/>
  <c r="D44" i="1" s="1"/>
  <c r="E121" i="1"/>
  <c r="I58" i="1"/>
  <c r="I59" i="1" s="1"/>
  <c r="F114" i="1"/>
  <c r="F110" i="1"/>
  <c r="I217" i="1"/>
  <c r="J215" i="1"/>
  <c r="J41" i="1" s="1"/>
  <c r="J98" i="1"/>
  <c r="E104" i="1"/>
  <c r="I64" i="1" l="1"/>
  <c r="I69" i="1"/>
  <c r="I71" i="1" s="1"/>
  <c r="E120" i="1"/>
  <c r="E119" i="1"/>
  <c r="J42" i="1"/>
  <c r="J103" i="1"/>
  <c r="D92" i="1"/>
  <c r="E108" i="1"/>
  <c r="E109" i="1" s="1"/>
  <c r="E111" i="1"/>
  <c r="J56" i="1"/>
  <c r="I225" i="1"/>
  <c r="I227" i="1" s="1"/>
  <c r="I218" i="1"/>
  <c r="D381" i="1"/>
  <c r="I220" i="1" l="1"/>
  <c r="I222" i="1"/>
  <c r="I221" i="1"/>
  <c r="I223" i="1"/>
  <c r="I83" i="1"/>
  <c r="I84" i="1" s="1"/>
  <c r="E114" i="1"/>
  <c r="E110" i="1"/>
  <c r="I121" i="1"/>
  <c r="I66" i="1"/>
  <c r="I78" i="1" s="1"/>
  <c r="I228" i="1"/>
  <c r="I235" i="1"/>
  <c r="I237" i="1" s="1"/>
  <c r="I219" i="1"/>
  <c r="D118" i="1"/>
  <c r="D94" i="1"/>
  <c r="C125" i="1"/>
  <c r="C126" i="1" s="1"/>
  <c r="C44" i="1" s="1"/>
  <c r="C92" i="1" s="1"/>
  <c r="D121" i="1"/>
  <c r="D104" i="1"/>
  <c r="D333" i="1"/>
  <c r="C94" i="1" l="1"/>
  <c r="C118" i="1"/>
  <c r="N317" i="1"/>
  <c r="J317" i="1"/>
  <c r="C121" i="1"/>
  <c r="D317" i="1" s="1"/>
  <c r="I232" i="1"/>
  <c r="I233" i="1"/>
  <c r="I230" i="1"/>
  <c r="I231" i="1"/>
  <c r="D119" i="1"/>
  <c r="D120" i="1"/>
  <c r="I238" i="1"/>
  <c r="I239" i="1" s="1"/>
  <c r="I245" i="1"/>
  <c r="I247" i="1" s="1"/>
  <c r="D108" i="1"/>
  <c r="D109" i="1" s="1"/>
  <c r="D111" i="1"/>
  <c r="I229" i="1"/>
  <c r="C104" i="1"/>
  <c r="O317" i="1"/>
  <c r="J50" i="1"/>
  <c r="J82" i="1"/>
  <c r="I224" i="1"/>
  <c r="I234" i="1" l="1"/>
  <c r="D110" i="1"/>
  <c r="D114" i="1"/>
  <c r="G317" i="1"/>
  <c r="C111" i="1"/>
  <c r="C108" i="1"/>
  <c r="C109" i="1" s="1"/>
  <c r="J97" i="1"/>
  <c r="J48" i="1"/>
  <c r="I240" i="1"/>
  <c r="I242" i="1"/>
  <c r="I241" i="1"/>
  <c r="I243" i="1"/>
  <c r="I248" i="1"/>
  <c r="I249" i="1" s="1"/>
  <c r="I255" i="1"/>
  <c r="I257" i="1" s="1"/>
  <c r="C120" i="1"/>
  <c r="E317" i="1" s="1"/>
  <c r="C119" i="1"/>
  <c r="K317" i="1"/>
  <c r="H317" i="1"/>
  <c r="U317" i="1"/>
  <c r="R317" i="1"/>
  <c r="J55" i="1" l="1"/>
  <c r="J75" i="1"/>
  <c r="J99" i="1"/>
  <c r="J74" i="1"/>
  <c r="J70" i="1"/>
  <c r="J54" i="1"/>
  <c r="J65" i="1" s="1"/>
  <c r="J109" i="1"/>
  <c r="F240" i="1"/>
  <c r="F250" i="1"/>
  <c r="F260" i="1"/>
  <c r="F270" i="1"/>
  <c r="F280" i="1"/>
  <c r="F290" i="1"/>
  <c r="I244" i="1"/>
  <c r="I265" i="1"/>
  <c r="I267" i="1" s="1"/>
  <c r="I258" i="1"/>
  <c r="C114" i="1"/>
  <c r="C209" i="1" s="1"/>
  <c r="B209" i="1" s="1"/>
  <c r="B210" i="1" s="1"/>
  <c r="B211" i="1" s="1"/>
  <c r="B3" i="1" s="1"/>
  <c r="C110" i="1"/>
  <c r="F241" i="1"/>
  <c r="F251" i="1"/>
  <c r="F261" i="1"/>
  <c r="F271" i="1"/>
  <c r="F281" i="1"/>
  <c r="F291" i="1"/>
  <c r="I252" i="1"/>
  <c r="I253" i="1"/>
  <c r="I250" i="1"/>
  <c r="I251" i="1"/>
  <c r="T317" i="1"/>
  <c r="J76" i="1" l="1"/>
  <c r="I261" i="1"/>
  <c r="I262" i="1"/>
  <c r="I263" i="1"/>
  <c r="I260" i="1"/>
  <c r="F294" i="1"/>
  <c r="F254" i="1"/>
  <c r="I275" i="1"/>
  <c r="I277" i="1" s="1"/>
  <c r="I268" i="1"/>
  <c r="F284" i="1"/>
  <c r="F244" i="1"/>
  <c r="E333" i="1"/>
  <c r="E381" i="1"/>
  <c r="S317" i="1"/>
  <c r="B2" i="82"/>
  <c r="F264" i="1"/>
  <c r="I254" i="1"/>
  <c r="I259" i="1"/>
  <c r="F274" i="1"/>
  <c r="J88" i="1"/>
  <c r="K49" i="1"/>
  <c r="J53" i="1"/>
  <c r="J57" i="1"/>
  <c r="J87" i="1"/>
  <c r="J89" i="1" s="1"/>
  <c r="I264" i="1" l="1"/>
  <c r="I285" i="1"/>
  <c r="I287" i="1" s="1"/>
  <c r="I278" i="1"/>
  <c r="I279" i="1" s="1"/>
  <c r="J217" i="1"/>
  <c r="K215" i="1"/>
  <c r="K41" i="1" s="1"/>
  <c r="K98" i="1"/>
  <c r="J58" i="1"/>
  <c r="J59" i="1" s="1"/>
  <c r="I273" i="1"/>
  <c r="I272" i="1"/>
  <c r="I271" i="1"/>
  <c r="I270" i="1"/>
  <c r="I269" i="1"/>
  <c r="J64" i="1" l="1"/>
  <c r="J69" i="1"/>
  <c r="J71" i="1" s="1"/>
  <c r="K42" i="1"/>
  <c r="K103" i="1"/>
  <c r="I274" i="1"/>
  <c r="K56" i="1"/>
  <c r="I280" i="1"/>
  <c r="I282" i="1"/>
  <c r="I281" i="1"/>
  <c r="I283" i="1"/>
  <c r="J225" i="1"/>
  <c r="J227" i="1" s="1"/>
  <c r="J218" i="1"/>
  <c r="I288" i="1"/>
  <c r="I289" i="1" s="1"/>
  <c r="I295" i="1"/>
  <c r="I284" i="1" l="1"/>
  <c r="I293" i="1"/>
  <c r="I292" i="1"/>
  <c r="I290" i="1"/>
  <c r="I291" i="1"/>
  <c r="J235" i="1"/>
  <c r="J237" i="1" s="1"/>
  <c r="J228" i="1"/>
  <c r="J229" i="1" s="1"/>
  <c r="J223" i="1"/>
  <c r="J221" i="1"/>
  <c r="J222" i="1"/>
  <c r="J220" i="1"/>
  <c r="J121" i="1"/>
  <c r="J66" i="1"/>
  <c r="J78" i="1" s="1"/>
  <c r="J219" i="1"/>
  <c r="J83" i="1"/>
  <c r="J84" i="1" s="1"/>
  <c r="K82" i="1" l="1"/>
  <c r="K50" i="1"/>
  <c r="I294" i="1"/>
  <c r="J224" i="1"/>
  <c r="J233" i="1"/>
  <c r="J232" i="1"/>
  <c r="J230" i="1"/>
  <c r="J231" i="1"/>
  <c r="J238" i="1"/>
  <c r="J239" i="1" s="1"/>
  <c r="J245" i="1"/>
  <c r="J247" i="1" s="1"/>
  <c r="J234" i="1" l="1"/>
  <c r="K97" i="1"/>
  <c r="K48" i="1"/>
  <c r="J248" i="1"/>
  <c r="J249" i="1" s="1"/>
  <c r="J255" i="1"/>
  <c r="J257" i="1" s="1"/>
  <c r="J240" i="1"/>
  <c r="J242" i="1"/>
  <c r="J243" i="1"/>
  <c r="J241" i="1"/>
  <c r="K74" i="1" l="1"/>
  <c r="K109" i="1"/>
  <c r="K75" i="1"/>
  <c r="K54" i="1"/>
  <c r="K65" i="1" s="1"/>
  <c r="K70" i="1"/>
  <c r="K55" i="1"/>
  <c r="K99" i="1"/>
  <c r="J244" i="1"/>
  <c r="J253" i="1"/>
  <c r="J251" i="1"/>
  <c r="J250" i="1"/>
  <c r="J252" i="1"/>
  <c r="J258" i="1"/>
  <c r="J265" i="1"/>
  <c r="J267" i="1" s="1"/>
  <c r="J268" i="1" l="1"/>
  <c r="J269" i="1" s="1"/>
  <c r="J275" i="1"/>
  <c r="J277" i="1" s="1"/>
  <c r="J263" i="1"/>
  <c r="J262" i="1"/>
  <c r="J260" i="1"/>
  <c r="J261" i="1"/>
  <c r="K87" i="1"/>
  <c r="K57" i="1"/>
  <c r="K53" i="1"/>
  <c r="K88" i="1"/>
  <c r="L49" i="1"/>
  <c r="J259" i="1"/>
  <c r="J254" i="1"/>
  <c r="K76" i="1"/>
  <c r="K89" i="1" l="1"/>
  <c r="J278" i="1"/>
  <c r="J285" i="1"/>
  <c r="J287" i="1" s="1"/>
  <c r="L98" i="1"/>
  <c r="L215" i="1"/>
  <c r="L41" i="1" s="1"/>
  <c r="K217" i="1"/>
  <c r="J264" i="1"/>
  <c r="K58" i="1"/>
  <c r="K59" i="1" s="1"/>
  <c r="J273" i="1"/>
  <c r="J270" i="1"/>
  <c r="J272" i="1"/>
  <c r="J271" i="1"/>
  <c r="J288" i="1" l="1"/>
  <c r="J295" i="1"/>
  <c r="L42" i="1"/>
  <c r="L103" i="1"/>
  <c r="K64" i="1"/>
  <c r="K69" i="1"/>
  <c r="K71" i="1" s="1"/>
  <c r="L56" i="1"/>
  <c r="J281" i="1"/>
  <c r="J283" i="1"/>
  <c r="J282" i="1"/>
  <c r="J280" i="1"/>
  <c r="J274" i="1"/>
  <c r="K218" i="1"/>
  <c r="K219" i="1" s="1"/>
  <c r="K225" i="1"/>
  <c r="K227" i="1" s="1"/>
  <c r="J279" i="1"/>
  <c r="K222" i="1" l="1"/>
  <c r="K221" i="1"/>
  <c r="K223" i="1"/>
  <c r="K220" i="1"/>
  <c r="K121" i="1"/>
  <c r="K66" i="1"/>
  <c r="K78" i="1" s="1"/>
  <c r="K83" i="1"/>
  <c r="K84" i="1" s="1"/>
  <c r="J293" i="1"/>
  <c r="J292" i="1"/>
  <c r="J291" i="1"/>
  <c r="J290" i="1"/>
  <c r="K235" i="1"/>
  <c r="K237" i="1" s="1"/>
  <c r="K228" i="1"/>
  <c r="K229" i="1" s="1"/>
  <c r="J284" i="1"/>
  <c r="J289" i="1"/>
  <c r="K224" i="1" l="1"/>
  <c r="L50" i="1"/>
  <c r="L82" i="1"/>
  <c r="K245" i="1"/>
  <c r="K247" i="1" s="1"/>
  <c r="K238" i="1"/>
  <c r="J294" i="1"/>
  <c r="K232" i="1"/>
  <c r="K231" i="1"/>
  <c r="K230" i="1"/>
  <c r="K233" i="1"/>
  <c r="K248" i="1" l="1"/>
  <c r="K249" i="1" s="1"/>
  <c r="K255" i="1"/>
  <c r="K257" i="1" s="1"/>
  <c r="K240" i="1"/>
  <c r="K242" i="1"/>
  <c r="K243" i="1"/>
  <c r="K241" i="1"/>
  <c r="K234" i="1"/>
  <c r="K239" i="1"/>
  <c r="L97" i="1"/>
  <c r="L48" i="1"/>
  <c r="L55" i="1" l="1"/>
  <c r="L99" i="1"/>
  <c r="L109" i="1"/>
  <c r="L74" i="1"/>
  <c r="L75" i="1"/>
  <c r="L54" i="1"/>
  <c r="L65" i="1" s="1"/>
  <c r="L70" i="1"/>
  <c r="K258" i="1"/>
  <c r="K259" i="1" s="1"/>
  <c r="K265" i="1"/>
  <c r="K267" i="1" s="1"/>
  <c r="K244" i="1"/>
  <c r="K252" i="1"/>
  <c r="K251" i="1"/>
  <c r="K250" i="1"/>
  <c r="K253" i="1"/>
  <c r="L76" i="1" l="1"/>
  <c r="K254" i="1"/>
  <c r="K268" i="1"/>
  <c r="K269" i="1" s="1"/>
  <c r="K275" i="1"/>
  <c r="K277" i="1" s="1"/>
  <c r="K262" i="1"/>
  <c r="K260" i="1"/>
  <c r="K263" i="1"/>
  <c r="K261" i="1"/>
  <c r="L88" i="1"/>
  <c r="M49" i="1"/>
  <c r="L87" i="1"/>
  <c r="L57" i="1"/>
  <c r="L53" i="1"/>
  <c r="L89" i="1" l="1"/>
  <c r="L58" i="1"/>
  <c r="L59" i="1" s="1"/>
  <c r="K285" i="1"/>
  <c r="K287" i="1" s="1"/>
  <c r="K278" i="1"/>
  <c r="M98" i="1"/>
  <c r="M215" i="1"/>
  <c r="M41" i="1" s="1"/>
  <c r="K264" i="1"/>
  <c r="L217" i="1"/>
  <c r="K270" i="1"/>
  <c r="K272" i="1"/>
  <c r="K273" i="1"/>
  <c r="K271" i="1"/>
  <c r="K274" i="1" l="1"/>
  <c r="L64" i="1"/>
  <c r="L69" i="1"/>
  <c r="L71" i="1" s="1"/>
  <c r="K295" i="1"/>
  <c r="K288" i="1"/>
  <c r="K289" i="1" s="1"/>
  <c r="M103" i="1"/>
  <c r="M42" i="1"/>
  <c r="M56" i="1"/>
  <c r="L218" i="1"/>
  <c r="L219" i="1" s="1"/>
  <c r="L225" i="1"/>
  <c r="L227" i="1" s="1"/>
  <c r="K281" i="1"/>
  <c r="K280" i="1"/>
  <c r="K282" i="1"/>
  <c r="K283" i="1"/>
  <c r="K279" i="1"/>
  <c r="L228" i="1" l="1"/>
  <c r="L229" i="1" s="1"/>
  <c r="L235" i="1"/>
  <c r="L237" i="1" s="1"/>
  <c r="K284" i="1"/>
  <c r="L220" i="1"/>
  <c r="L223" i="1"/>
  <c r="L221" i="1"/>
  <c r="L222" i="1"/>
  <c r="L121" i="1"/>
  <c r="L66" i="1"/>
  <c r="L78" i="1" s="1"/>
  <c r="K292" i="1"/>
  <c r="K293" i="1"/>
  <c r="K291" i="1"/>
  <c r="K290" i="1"/>
  <c r="L83" i="1"/>
  <c r="L84" i="1" s="1"/>
  <c r="M82" i="1" l="1"/>
  <c r="M50" i="1"/>
  <c r="L245" i="1"/>
  <c r="L247" i="1" s="1"/>
  <c r="L238" i="1"/>
  <c r="K294" i="1"/>
  <c r="L224" i="1"/>
  <c r="L230" i="1"/>
  <c r="L231" i="1"/>
  <c r="L233" i="1"/>
  <c r="L232" i="1"/>
  <c r="L234" i="1" l="1"/>
  <c r="L248" i="1"/>
  <c r="L249" i="1" s="1"/>
  <c r="L255" i="1"/>
  <c r="L257" i="1" s="1"/>
  <c r="L240" i="1"/>
  <c r="L242" i="1"/>
  <c r="L243" i="1"/>
  <c r="L241" i="1"/>
  <c r="M97" i="1"/>
  <c r="M48" i="1"/>
  <c r="L239" i="1"/>
  <c r="L244" i="1" l="1"/>
  <c r="L258" i="1"/>
  <c r="L259" i="1" s="1"/>
  <c r="L265" i="1"/>
  <c r="L267" i="1" s="1"/>
  <c r="M75" i="1"/>
  <c r="M55" i="1"/>
  <c r="M70" i="1"/>
  <c r="M99" i="1"/>
  <c r="M74" i="1"/>
  <c r="M54" i="1"/>
  <c r="M65" i="1" s="1"/>
  <c r="M109" i="1"/>
  <c r="L251" i="1"/>
  <c r="L252" i="1"/>
  <c r="L253" i="1"/>
  <c r="L250" i="1"/>
  <c r="L254" i="1" l="1"/>
  <c r="M88" i="1"/>
  <c r="N49" i="1"/>
  <c r="M76" i="1"/>
  <c r="M57" i="1"/>
  <c r="M53" i="1"/>
  <c r="M87" i="1"/>
  <c r="L268" i="1"/>
  <c r="L269" i="1" s="1"/>
  <c r="L275" i="1"/>
  <c r="L277" i="1" s="1"/>
  <c r="L262" i="1"/>
  <c r="L260" i="1"/>
  <c r="L261" i="1"/>
  <c r="L263" i="1"/>
  <c r="M89" i="1" l="1"/>
  <c r="L264" i="1"/>
  <c r="N215" i="1"/>
  <c r="N41" i="1" s="1"/>
  <c r="N98" i="1"/>
  <c r="M217" i="1"/>
  <c r="L271" i="1"/>
  <c r="L270" i="1"/>
  <c r="L272" i="1"/>
  <c r="L273" i="1"/>
  <c r="L278" i="1"/>
  <c r="L279" i="1" s="1"/>
  <c r="L285" i="1"/>
  <c r="L287" i="1" s="1"/>
  <c r="M58" i="1"/>
  <c r="M59" i="1" s="1"/>
  <c r="N42" i="1" l="1"/>
  <c r="N103" i="1"/>
  <c r="L288" i="1"/>
  <c r="L289" i="1" s="1"/>
  <c r="L295" i="1"/>
  <c r="L274" i="1"/>
  <c r="M218" i="1"/>
  <c r="M225" i="1"/>
  <c r="M227" i="1" s="1"/>
  <c r="M64" i="1"/>
  <c r="M69" i="1"/>
  <c r="M71" i="1" s="1"/>
  <c r="L281" i="1"/>
  <c r="L280" i="1"/>
  <c r="L282" i="1"/>
  <c r="L283" i="1"/>
  <c r="N56" i="1"/>
  <c r="M223" i="1" l="1"/>
  <c r="M221" i="1"/>
  <c r="M222" i="1"/>
  <c r="M220" i="1"/>
  <c r="L290" i="1"/>
  <c r="L292" i="1"/>
  <c r="L293" i="1"/>
  <c r="L291" i="1"/>
  <c r="L284" i="1"/>
  <c r="M121" i="1"/>
  <c r="M66" i="1"/>
  <c r="M78" i="1" s="1"/>
  <c r="M235" i="1"/>
  <c r="M237" i="1" s="1"/>
  <c r="M228" i="1"/>
  <c r="M83" i="1"/>
  <c r="M84" i="1" s="1"/>
  <c r="M219" i="1"/>
  <c r="M224" i="1" l="1"/>
  <c r="N50" i="1"/>
  <c r="N82" i="1"/>
  <c r="M233" i="1"/>
  <c r="M231" i="1"/>
  <c r="M230" i="1"/>
  <c r="M232" i="1"/>
  <c r="M238" i="1"/>
  <c r="M245" i="1"/>
  <c r="M247" i="1" s="1"/>
  <c r="M229" i="1"/>
  <c r="L294" i="1"/>
  <c r="M234" i="1" l="1"/>
  <c r="N97" i="1"/>
  <c r="N48" i="1"/>
  <c r="M242" i="1"/>
  <c r="M243" i="1"/>
  <c r="M241" i="1"/>
  <c r="M240" i="1"/>
  <c r="M239" i="1"/>
  <c r="M248" i="1"/>
  <c r="M255" i="1"/>
  <c r="M257" i="1" s="1"/>
  <c r="M244" i="1" l="1"/>
  <c r="M265" i="1"/>
  <c r="M267" i="1" s="1"/>
  <c r="M258" i="1"/>
  <c r="M252" i="1"/>
  <c r="M251" i="1"/>
  <c r="M250" i="1"/>
  <c r="M253" i="1"/>
  <c r="N75" i="1"/>
  <c r="N109" i="1"/>
  <c r="N74" i="1"/>
  <c r="N54" i="1"/>
  <c r="N65" i="1" s="1"/>
  <c r="N70" i="1"/>
  <c r="N99" i="1"/>
  <c r="N55" i="1"/>
  <c r="M249" i="1"/>
  <c r="M262" i="1" l="1"/>
  <c r="M260" i="1"/>
  <c r="M261" i="1"/>
  <c r="M263" i="1"/>
  <c r="N88" i="1"/>
  <c r="O49" i="1"/>
  <c r="N57" i="1"/>
  <c r="N87" i="1"/>
  <c r="N53" i="1"/>
  <c r="M254" i="1"/>
  <c r="M275" i="1"/>
  <c r="M277" i="1" s="1"/>
  <c r="M268" i="1"/>
  <c r="N76" i="1"/>
  <c r="M259" i="1"/>
  <c r="N89" i="1" l="1"/>
  <c r="M273" i="1"/>
  <c r="M270" i="1"/>
  <c r="M271" i="1"/>
  <c r="M272" i="1"/>
  <c r="N217" i="1"/>
  <c r="O98" i="1"/>
  <c r="O215" i="1"/>
  <c r="O41" i="1" s="1"/>
  <c r="M264" i="1"/>
  <c r="M285" i="1"/>
  <c r="M287" i="1" s="1"/>
  <c r="M278" i="1"/>
  <c r="M279" i="1" s="1"/>
  <c r="N58" i="1"/>
  <c r="N59" i="1" s="1"/>
  <c r="M269" i="1"/>
  <c r="N64" i="1" l="1"/>
  <c r="N69" i="1"/>
  <c r="N71" i="1" s="1"/>
  <c r="O42" i="1"/>
  <c r="O103" i="1"/>
  <c r="N225" i="1"/>
  <c r="N227" i="1" s="1"/>
  <c r="N218" i="1"/>
  <c r="M274" i="1"/>
  <c r="M295" i="1"/>
  <c r="M288" i="1"/>
  <c r="M289" i="1" s="1"/>
  <c r="M280" i="1"/>
  <c r="M281" i="1"/>
  <c r="M282" i="1"/>
  <c r="M283" i="1"/>
  <c r="O56" i="1"/>
  <c r="N222" i="1" l="1"/>
  <c r="N223" i="1"/>
  <c r="N220" i="1"/>
  <c r="N221" i="1"/>
  <c r="N228" i="1"/>
  <c r="N229" i="1" s="1"/>
  <c r="N235" i="1"/>
  <c r="N237" i="1" s="1"/>
  <c r="N219" i="1"/>
  <c r="N83" i="1"/>
  <c r="N84" i="1" s="1"/>
  <c r="M293" i="1"/>
  <c r="M290" i="1"/>
  <c r="M291" i="1"/>
  <c r="M292" i="1"/>
  <c r="M284" i="1"/>
  <c r="N121" i="1"/>
  <c r="N66" i="1"/>
  <c r="N78" i="1" s="1"/>
  <c r="M294" i="1" l="1"/>
  <c r="N224" i="1"/>
  <c r="N238" i="1"/>
  <c r="N245" i="1"/>
  <c r="N247" i="1" s="1"/>
  <c r="O82" i="1"/>
  <c r="O50" i="1"/>
  <c r="N233" i="1"/>
  <c r="N230" i="1"/>
  <c r="N231" i="1"/>
  <c r="N232" i="1"/>
  <c r="O97" i="1" l="1"/>
  <c r="O48" i="1"/>
  <c r="N248" i="1"/>
  <c r="N249" i="1" s="1"/>
  <c r="N255" i="1"/>
  <c r="N257" i="1" s="1"/>
  <c r="N240" i="1"/>
  <c r="N241" i="1"/>
  <c r="N243" i="1"/>
  <c r="N242" i="1"/>
  <c r="N234" i="1"/>
  <c r="N239" i="1"/>
  <c r="N253" i="1" l="1"/>
  <c r="N250" i="1"/>
  <c r="N251" i="1"/>
  <c r="N252" i="1"/>
  <c r="N244" i="1"/>
  <c r="O55" i="1"/>
  <c r="O70" i="1"/>
  <c r="O54" i="1"/>
  <c r="O65" i="1" s="1"/>
  <c r="O75" i="1"/>
  <c r="O99" i="1"/>
  <c r="O109" i="1"/>
  <c r="O74" i="1"/>
  <c r="N265" i="1"/>
  <c r="N267" i="1" s="1"/>
  <c r="N258" i="1"/>
  <c r="N259" i="1" s="1"/>
  <c r="O76" i="1" l="1"/>
  <c r="N268" i="1"/>
  <c r="N269" i="1" s="1"/>
  <c r="N275" i="1"/>
  <c r="N277" i="1" s="1"/>
  <c r="O88" i="1"/>
  <c r="P49" i="1"/>
  <c r="O87" i="1"/>
  <c r="O53" i="1"/>
  <c r="O57" i="1"/>
  <c r="N254" i="1"/>
  <c r="N263" i="1"/>
  <c r="N260" i="1"/>
  <c r="N261" i="1"/>
  <c r="N262" i="1"/>
  <c r="N264" i="1" l="1"/>
  <c r="O89" i="1"/>
  <c r="O217" i="1"/>
  <c r="N285" i="1"/>
  <c r="N287" i="1" s="1"/>
  <c r="N278" i="1"/>
  <c r="P98" i="1"/>
  <c r="P215" i="1"/>
  <c r="P41" i="1" s="1"/>
  <c r="P56" i="1" s="1"/>
  <c r="O58" i="1"/>
  <c r="O59" i="1" s="1"/>
  <c r="N273" i="1"/>
  <c r="N270" i="1"/>
  <c r="N271" i="1"/>
  <c r="N272" i="1"/>
  <c r="N274" i="1" l="1"/>
  <c r="O225" i="1"/>
  <c r="O227" i="1" s="1"/>
  <c r="O218" i="1"/>
  <c r="O219" i="1" s="1"/>
  <c r="N288" i="1"/>
  <c r="N295" i="1"/>
  <c r="O64" i="1"/>
  <c r="O69" i="1"/>
  <c r="O71" i="1" s="1"/>
  <c r="N282" i="1"/>
  <c r="N283" i="1"/>
  <c r="N281" i="1"/>
  <c r="N280" i="1"/>
  <c r="P103" i="1"/>
  <c r="P42" i="1"/>
  <c r="N279" i="1"/>
  <c r="N291" i="1" l="1"/>
  <c r="N292" i="1"/>
  <c r="N290" i="1"/>
  <c r="N293" i="1"/>
  <c r="O83" i="1"/>
  <c r="O84" i="1" s="1"/>
  <c r="O222" i="1"/>
  <c r="O221" i="1"/>
  <c r="O220" i="1"/>
  <c r="O223" i="1"/>
  <c r="N284" i="1"/>
  <c r="O228" i="1"/>
  <c r="O229" i="1" s="1"/>
  <c r="O235" i="1"/>
  <c r="O237" i="1" s="1"/>
  <c r="O121" i="1"/>
  <c r="O66" i="1"/>
  <c r="O78" i="1" s="1"/>
  <c r="N289" i="1"/>
  <c r="O224" i="1" l="1"/>
  <c r="O233" i="1"/>
  <c r="O230" i="1"/>
  <c r="O232" i="1"/>
  <c r="O231" i="1"/>
  <c r="N294" i="1"/>
  <c r="O238" i="1"/>
  <c r="O239" i="1" s="1"/>
  <c r="O245" i="1"/>
  <c r="O247" i="1" s="1"/>
  <c r="P82" i="1"/>
  <c r="P50" i="1"/>
  <c r="O248" i="1" l="1"/>
  <c r="O249" i="1" s="1"/>
  <c r="O255" i="1"/>
  <c r="O257" i="1" s="1"/>
  <c r="P97" i="1"/>
  <c r="P48" i="1"/>
  <c r="O241" i="1"/>
  <c r="O243" i="1"/>
  <c r="O240" i="1"/>
  <c r="O242" i="1"/>
  <c r="O234" i="1"/>
  <c r="O244" i="1" l="1"/>
  <c r="O265" i="1"/>
  <c r="O267" i="1" s="1"/>
  <c r="O258" i="1"/>
  <c r="P54" i="1"/>
  <c r="P65" i="1" s="1"/>
  <c r="P70" i="1"/>
  <c r="P88" i="1" s="1"/>
  <c r="P93" i="1" s="1"/>
  <c r="O93" i="1" s="1"/>
  <c r="N93" i="1" s="1"/>
  <c r="M93" i="1" s="1"/>
  <c r="L93" i="1" s="1"/>
  <c r="K93" i="1" s="1"/>
  <c r="J93" i="1" s="1"/>
  <c r="P74" i="1"/>
  <c r="P109" i="1"/>
  <c r="P99" i="1"/>
  <c r="P111" i="1"/>
  <c r="P75" i="1"/>
  <c r="P55" i="1"/>
  <c r="O253" i="1"/>
  <c r="O250" i="1"/>
  <c r="O251" i="1"/>
  <c r="O252" i="1"/>
  <c r="P57" i="1" l="1"/>
  <c r="P87" i="1"/>
  <c r="P53" i="1"/>
  <c r="O261" i="1"/>
  <c r="O262" i="1"/>
  <c r="O260" i="1"/>
  <c r="O263" i="1"/>
  <c r="P110" i="1"/>
  <c r="O111" i="1"/>
  <c r="O254" i="1"/>
  <c r="P76" i="1"/>
  <c r="O275" i="1"/>
  <c r="O277" i="1" s="1"/>
  <c r="O268" i="1"/>
  <c r="O259" i="1"/>
  <c r="P217" i="1" l="1"/>
  <c r="P89" i="1"/>
  <c r="P92" i="1"/>
  <c r="O273" i="1"/>
  <c r="O270" i="1"/>
  <c r="O272" i="1"/>
  <c r="O271" i="1"/>
  <c r="O285" i="1"/>
  <c r="O287" i="1" s="1"/>
  <c r="O278" i="1"/>
  <c r="P58" i="1"/>
  <c r="P59" i="1" s="1"/>
  <c r="O264" i="1"/>
  <c r="O110" i="1"/>
  <c r="N111" i="1"/>
  <c r="O269" i="1"/>
  <c r="O274" i="1" l="1"/>
  <c r="O295" i="1"/>
  <c r="O288" i="1"/>
  <c r="O289" i="1" s="1"/>
  <c r="O283" i="1"/>
  <c r="O281" i="1"/>
  <c r="O282" i="1"/>
  <c r="O280" i="1"/>
  <c r="N110" i="1"/>
  <c r="M111" i="1"/>
  <c r="P94" i="1"/>
  <c r="O92" i="1"/>
  <c r="P225" i="1"/>
  <c r="P227" i="1" s="1"/>
  <c r="P218" i="1"/>
  <c r="P219" i="1" s="1"/>
  <c r="P64" i="1"/>
  <c r="P69" i="1"/>
  <c r="P71" i="1" s="1"/>
  <c r="O279" i="1"/>
  <c r="P228" i="1" l="1"/>
  <c r="P229" i="1" s="1"/>
  <c r="P235" i="1"/>
  <c r="P237" i="1" s="1"/>
  <c r="O94" i="1"/>
  <c r="N92" i="1"/>
  <c r="O284" i="1"/>
  <c r="P83" i="1"/>
  <c r="P84" i="1" s="1"/>
  <c r="O292" i="1"/>
  <c r="O291" i="1"/>
  <c r="O293" i="1"/>
  <c r="O290" i="1"/>
  <c r="P121" i="1"/>
  <c r="P66" i="1"/>
  <c r="P78" i="1" s="1"/>
  <c r="P223" i="1"/>
  <c r="P222" i="1"/>
  <c r="P221" i="1"/>
  <c r="P220" i="1"/>
  <c r="M110" i="1"/>
  <c r="L111" i="1"/>
  <c r="P238" i="1" l="1"/>
  <c r="P245" i="1"/>
  <c r="P247" i="1" s="1"/>
  <c r="O294" i="1"/>
  <c r="L110" i="1"/>
  <c r="K111" i="1"/>
  <c r="P224" i="1"/>
  <c r="N94" i="1"/>
  <c r="M92" i="1"/>
  <c r="P231" i="1"/>
  <c r="P233" i="1"/>
  <c r="P230" i="1"/>
  <c r="P232" i="1"/>
  <c r="P243" i="1" l="1"/>
  <c r="P240" i="1"/>
  <c r="P242" i="1"/>
  <c r="P241" i="1"/>
  <c r="P248" i="1"/>
  <c r="P249" i="1" s="1"/>
  <c r="P255" i="1"/>
  <c r="P257" i="1" s="1"/>
  <c r="M94" i="1"/>
  <c r="L92" i="1"/>
  <c r="P234" i="1"/>
  <c r="K110" i="1"/>
  <c r="J111" i="1"/>
  <c r="P239" i="1"/>
  <c r="J110" i="1" l="1"/>
  <c r="I111" i="1"/>
  <c r="I110" i="1" s="1"/>
  <c r="P244" i="1"/>
  <c r="P258" i="1"/>
  <c r="P265" i="1"/>
  <c r="P267" i="1" s="1"/>
  <c r="L94" i="1"/>
  <c r="K92" i="1"/>
  <c r="P250" i="1"/>
  <c r="P251" i="1"/>
  <c r="P252" i="1"/>
  <c r="P253" i="1"/>
  <c r="P262" i="1" l="1"/>
  <c r="P261" i="1"/>
  <c r="P263" i="1"/>
  <c r="P260" i="1"/>
  <c r="K94" i="1"/>
  <c r="J92" i="1"/>
  <c r="J94" i="1" s="1"/>
  <c r="P259" i="1"/>
  <c r="P254" i="1"/>
  <c r="P268" i="1"/>
  <c r="P269" i="1" s="1"/>
  <c r="P275" i="1"/>
  <c r="P277" i="1" s="1"/>
  <c r="P264" i="1" l="1"/>
  <c r="P285" i="1"/>
  <c r="P287" i="1" s="1"/>
  <c r="P278" i="1"/>
  <c r="P272" i="1"/>
  <c r="P273" i="1"/>
  <c r="P270" i="1"/>
  <c r="P271" i="1"/>
  <c r="P288" i="1" l="1"/>
  <c r="P289" i="1" s="1"/>
  <c r="P295" i="1"/>
  <c r="P280" i="1"/>
  <c r="P281" i="1"/>
  <c r="P282" i="1"/>
  <c r="P283" i="1"/>
  <c r="P274" i="1"/>
  <c r="P279" i="1"/>
  <c r="P284" i="1" l="1"/>
  <c r="P293" i="1"/>
  <c r="P290" i="1"/>
  <c r="P292" i="1"/>
  <c r="P291" i="1"/>
  <c r="P294" i="1" l="1"/>
  <c r="C15" i="77" a="1"/>
  <c r="C23" i="77" a="1"/>
  <c r="C25" i="77" a="1"/>
  <c r="C7" i="77" a="1"/>
  <c r="C8" i="77" a="1"/>
  <c r="C17" i="77" a="1"/>
  <c r="C24" i="77" a="1"/>
  <c r="C9" i="77" a="1"/>
  <c r="C9" i="77" l="1"/>
  <c r="E9" i="77"/>
  <c r="L9" i="77"/>
  <c r="M9" i="77"/>
  <c r="O9" i="77"/>
  <c r="F9" i="77"/>
  <c r="V9" i="77"/>
  <c r="Q9" i="77"/>
  <c r="J9" i="77"/>
  <c r="T9" i="77"/>
  <c r="N9" i="77"/>
  <c r="U9" i="77"/>
  <c r="P9" i="77"/>
  <c r="H9" i="77"/>
  <c r="S9" i="77"/>
  <c r="K9" i="77"/>
  <c r="G9" i="77"/>
  <c r="D9" i="77"/>
  <c r="R9" i="77"/>
  <c r="I9" i="77"/>
  <c r="C24" i="77"/>
  <c r="D24" i="77"/>
  <c r="L24" i="77"/>
  <c r="O24" i="77"/>
  <c r="I24" i="77"/>
  <c r="Q24" i="77"/>
  <c r="V24" i="77"/>
  <c r="R24" i="77"/>
  <c r="T24" i="77"/>
  <c r="U24" i="77"/>
  <c r="N24" i="77"/>
  <c r="S24" i="77"/>
  <c r="K24" i="77"/>
  <c r="P24" i="77"/>
  <c r="H24" i="77"/>
  <c r="E24" i="77"/>
  <c r="F24" i="77"/>
  <c r="G24" i="77"/>
  <c r="J24" i="77"/>
  <c r="M24" i="77"/>
  <c r="U17" i="77"/>
  <c r="Q17" i="77"/>
  <c r="K17" i="77"/>
  <c r="E17" i="77"/>
  <c r="F17" i="77"/>
  <c r="I17" i="77"/>
  <c r="T17" i="77"/>
  <c r="G17" i="77"/>
  <c r="N17" i="77"/>
  <c r="D17" i="77"/>
  <c r="R17" i="77"/>
  <c r="M17" i="77"/>
  <c r="J17" i="77"/>
  <c r="S17" i="77"/>
  <c r="P17" i="77"/>
  <c r="H17" i="77"/>
  <c r="O17" i="77"/>
  <c r="C17" i="77"/>
  <c r="L17" i="77"/>
  <c r="V17" i="77"/>
  <c r="N8" i="77"/>
  <c r="J8" i="77"/>
  <c r="K8" i="77"/>
  <c r="D8" i="77"/>
  <c r="I8" i="77"/>
  <c r="E8" i="77"/>
  <c r="G8" i="77"/>
  <c r="U8" i="77"/>
  <c r="H8" i="77"/>
  <c r="P8" i="77"/>
  <c r="C8" i="77"/>
  <c r="O8" i="77"/>
  <c r="V8" i="77"/>
  <c r="F8" i="77"/>
  <c r="S8" i="77"/>
  <c r="L8" i="77"/>
  <c r="R8" i="77"/>
  <c r="Q8" i="77"/>
  <c r="T8" i="77"/>
  <c r="M8" i="77"/>
  <c r="J7" i="77"/>
  <c r="P7" i="77"/>
  <c r="G7" i="77"/>
  <c r="L7" i="77"/>
  <c r="C7" i="77"/>
  <c r="N7" i="77"/>
  <c r="K7" i="77"/>
  <c r="D7" i="77"/>
  <c r="I7" i="77"/>
  <c r="O7" i="77"/>
  <c r="Q7" i="77"/>
  <c r="F7" i="77"/>
  <c r="R7" i="77"/>
  <c r="U7" i="77"/>
  <c r="S7" i="77"/>
  <c r="V7" i="77"/>
  <c r="T7" i="77"/>
  <c r="E7" i="77"/>
  <c r="H7" i="77"/>
  <c r="M7" i="77"/>
  <c r="F25" i="77"/>
  <c r="E25" i="77"/>
  <c r="G25" i="77"/>
  <c r="J25" i="77"/>
  <c r="P25" i="77"/>
  <c r="D25" i="77"/>
  <c r="V25" i="77"/>
  <c r="M25" i="77"/>
  <c r="N25" i="77"/>
  <c r="C25" i="77"/>
  <c r="I25" i="77"/>
  <c r="H25" i="77"/>
  <c r="O25" i="77"/>
  <c r="Q25" i="77"/>
  <c r="T25" i="77"/>
  <c r="R25" i="77"/>
  <c r="S25" i="77"/>
  <c r="K25" i="77"/>
  <c r="U25" i="77"/>
  <c r="L25" i="77"/>
  <c r="J23" i="77"/>
  <c r="E23" i="77"/>
  <c r="R23" i="77"/>
  <c r="O23" i="77"/>
  <c r="N23" i="77"/>
  <c r="M23" i="77"/>
  <c r="P23" i="77"/>
  <c r="D23" i="77"/>
  <c r="K23" i="77"/>
  <c r="H23" i="77"/>
  <c r="C23" i="77"/>
  <c r="T23" i="77"/>
  <c r="S23" i="77"/>
  <c r="Q23" i="77"/>
  <c r="U23" i="77"/>
  <c r="G23" i="77"/>
  <c r="V23" i="77"/>
  <c r="F23" i="77"/>
  <c r="L23" i="77"/>
  <c r="I23" i="77"/>
  <c r="V15" i="77"/>
  <c r="M15" i="77"/>
  <c r="F15" i="77"/>
  <c r="R15" i="77"/>
  <c r="Q15" i="77"/>
  <c r="K15" i="77"/>
  <c r="T15" i="77"/>
  <c r="N15" i="77"/>
  <c r="E15" i="77"/>
  <c r="C15" i="77"/>
  <c r="S15" i="77"/>
  <c r="L15" i="77"/>
  <c r="I15" i="77"/>
  <c r="P15" i="77"/>
  <c r="O15" i="77"/>
  <c r="D15" i="77"/>
  <c r="H15" i="77"/>
  <c r="U15" i="77"/>
  <c r="G15" i="77"/>
  <c r="J15" i="77"/>
  <c r="B28" i="77" l="1"/>
  <c r="C29" i="77" s="1"/>
  <c r="B27" i="77"/>
  <c r="B19" i="77"/>
  <c r="B20" i="77"/>
  <c r="C21" i="77" s="1"/>
  <c r="B12" i="77"/>
  <c r="C13" i="77" s="1"/>
  <c r="B11" i="77"/>
  <c r="D21" i="77" l="1"/>
  <c r="E21" i="77" s="1"/>
  <c r="F21" i="77" s="1"/>
  <c r="G21" i="77" s="1"/>
  <c r="H21" i="77" s="1"/>
  <c r="I21" i="77" s="1"/>
  <c r="J21" i="77" s="1"/>
  <c r="K21" i="77" s="1"/>
  <c r="L21" i="77" s="1"/>
  <c r="M21" i="77" s="1"/>
  <c r="N21" i="77" s="1"/>
  <c r="O21" i="77" s="1"/>
  <c r="P21" i="77" s="1"/>
  <c r="Q21" i="77" s="1"/>
  <c r="R21" i="77" s="1"/>
  <c r="S21" i="77" s="1"/>
  <c r="T21" i="77" s="1"/>
  <c r="U21" i="77" s="1"/>
  <c r="V21" i="77" s="1"/>
  <c r="D13" i="77"/>
  <c r="E13" i="77" s="1"/>
  <c r="F13" i="77" s="1"/>
  <c r="G13" i="77" s="1"/>
  <c r="H13" i="77" s="1"/>
  <c r="I13" i="77" s="1"/>
  <c r="J13" i="77" s="1"/>
  <c r="K13" i="77" s="1"/>
  <c r="L13" i="77" s="1"/>
  <c r="M13" i="77" s="1"/>
  <c r="N13" i="77" s="1"/>
  <c r="O13" i="77" s="1"/>
  <c r="P13" i="77" s="1"/>
  <c r="Q13" i="77" s="1"/>
  <c r="R13" i="77" s="1"/>
  <c r="S13" i="77" s="1"/>
  <c r="T13" i="77" s="1"/>
  <c r="U13" i="77" s="1"/>
  <c r="V13" i="77" s="1"/>
  <c r="D29" i="77"/>
  <c r="E29" i="77" s="1"/>
  <c r="F29" i="77" s="1"/>
  <c r="G29" i="77" s="1"/>
  <c r="H29" i="77" s="1"/>
  <c r="I29" i="77" s="1"/>
  <c r="J29" i="77" s="1"/>
  <c r="K29" i="77" s="1"/>
  <c r="L29" i="77" s="1"/>
  <c r="M29" i="77" s="1"/>
  <c r="N29" i="77" s="1"/>
  <c r="O29" i="77" s="1"/>
  <c r="P29" i="77" s="1"/>
  <c r="Q29" i="77" s="1"/>
  <c r="R29" i="77" s="1"/>
  <c r="S29" i="77" s="1"/>
  <c r="T29" i="77" s="1"/>
  <c r="U29" i="77" s="1"/>
  <c r="V29" i="7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tykoh</author>
  </authors>
  <commentList>
    <comment ref="B29" authorId="0" shapeId="0" xr:uid="{00000000-0006-0000-0100-000001000000}">
      <text>
        <r>
          <rPr>
            <b/>
            <sz val="8"/>
            <color indexed="81"/>
            <rFont val="Tahoma"/>
          </rPr>
          <t>1 = Initial phase
2 = Fade phase
3 = Terminal phase</t>
        </r>
        <r>
          <rPr>
            <sz val="8"/>
            <color indexed="81"/>
            <rFont val="Tahoma"/>
          </rPr>
          <t xml:space="preserve">
</t>
        </r>
      </text>
    </comment>
    <comment ref="B32" authorId="0" shapeId="0" xr:uid="{00000000-0006-0000-0100-000002000000}">
      <text>
        <r>
          <rPr>
            <b/>
            <sz val="8"/>
            <color indexed="81"/>
            <rFont val="Tahoma"/>
          </rPr>
          <t>Return on capital = EBIT(1 - tax) / Capital</t>
        </r>
      </text>
    </comment>
    <comment ref="B41" authorId="0" shapeId="0" xr:uid="{00000000-0006-0000-0100-000003000000}">
      <text>
        <r>
          <rPr>
            <b/>
            <sz val="8"/>
            <color indexed="81"/>
            <rFont val="Tahoma"/>
          </rPr>
          <t>Cost of debt (pre-tax) = Risk free rate + interest margin</t>
        </r>
      </text>
    </comment>
    <comment ref="B43" authorId="0" shapeId="0" xr:uid="{00000000-0006-0000-0100-000004000000}">
      <text>
        <r>
          <rPr>
            <b/>
            <sz val="8"/>
            <color indexed="81"/>
            <rFont val="Tahoma"/>
          </rPr>
          <t>= Cost of debt + equity margin</t>
        </r>
      </text>
    </comment>
    <comment ref="B44" authorId="0" shapeId="0" xr:uid="{00000000-0006-0000-0100-000005000000}">
      <text>
        <r>
          <rPr>
            <b/>
            <sz val="8"/>
            <color indexed="81"/>
            <rFont val="Tahoma"/>
          </rPr>
          <t>= Unleveraged cost of equity adjusted for leverage (Debt / Equity ratio)</t>
        </r>
        <r>
          <rPr>
            <sz val="8"/>
            <color indexed="81"/>
            <rFont val="Tahoma"/>
          </rPr>
          <t xml:space="preserve">
</t>
        </r>
      </text>
    </comment>
    <comment ref="B53" authorId="0" shapeId="0" xr:uid="{00000000-0006-0000-0100-000006000000}">
      <text>
        <r>
          <rPr>
            <b/>
            <sz val="8"/>
            <color indexed="81"/>
            <rFont val="Tahoma"/>
          </rPr>
          <t>Earnings before interest, taxes, depreciation and amortization</t>
        </r>
      </text>
    </comment>
    <comment ref="B55" authorId="0" shapeId="0" xr:uid="{00000000-0006-0000-0100-000007000000}">
      <text>
        <r>
          <rPr>
            <b/>
            <sz val="8"/>
            <color indexed="81"/>
            <rFont val="Tahoma"/>
          </rPr>
          <t>Earnings before interest and taxes</t>
        </r>
      </text>
    </comment>
    <comment ref="B57" authorId="0" shapeId="0" xr:uid="{00000000-0006-0000-0100-000008000000}">
      <text>
        <r>
          <rPr>
            <b/>
            <sz val="8"/>
            <color indexed="81"/>
            <rFont val="Tahoma"/>
          </rPr>
          <t>Earnings before taxes</t>
        </r>
      </text>
    </comment>
    <comment ref="B104" authorId="0" shapeId="0" xr:uid="{00000000-0006-0000-0100-000009000000}">
      <text>
        <r>
          <rPr>
            <b/>
            <sz val="8"/>
            <color indexed="81"/>
            <rFont val="Tahoma"/>
          </rPr>
          <t>= (cost of debt * (1 - tax rate) * market value of debt +  cost of equity * market value of equity) / (market value of firm)</t>
        </r>
      </text>
    </comment>
    <comment ref="B105" authorId="0" shapeId="0" xr:uid="{00000000-0006-0000-0100-00000A000000}">
      <text>
        <r>
          <rPr>
            <b/>
            <sz val="8"/>
            <color indexed="81"/>
            <rFont val="Tahoma"/>
          </rPr>
          <t>= Net income / Book value of equity</t>
        </r>
      </text>
    </comment>
    <comment ref="B107" authorId="0" shapeId="0" xr:uid="{00000000-0006-0000-0100-00000B000000}">
      <text>
        <r>
          <rPr>
            <b/>
            <sz val="8"/>
            <color indexed="81"/>
            <rFont val="Tahoma"/>
          </rPr>
          <t>Economic value added from the given period to perpetuity.</t>
        </r>
      </text>
    </comment>
    <comment ref="B109" authorId="0" shapeId="0" xr:uid="{00000000-0006-0000-0100-00000C000000}">
      <text>
        <r>
          <rPr>
            <b/>
            <sz val="8"/>
            <color indexed="81"/>
            <rFont val="Tahoma"/>
          </rPr>
          <t>EVA due to current investment</t>
        </r>
      </text>
    </comment>
    <comment ref="B110" authorId="0" shapeId="0" xr:uid="{00000000-0006-0000-0100-00000D000000}">
      <text>
        <r>
          <rPr>
            <b/>
            <sz val="8"/>
            <color indexed="81"/>
            <rFont val="Tahoma"/>
          </rPr>
          <t>EVA due to future investment</t>
        </r>
      </text>
    </comment>
    <comment ref="B117" authorId="0" shapeId="0" xr:uid="{00000000-0006-0000-0100-00000E000000}">
      <text>
        <r>
          <rPr>
            <b/>
            <sz val="8"/>
            <color indexed="81"/>
            <rFont val="Tahoma"/>
          </rPr>
          <t>= EBITDA / Interest</t>
        </r>
      </text>
    </comment>
    <comment ref="B121" authorId="0" shapeId="0" xr:uid="{00000000-0006-0000-0100-00000F000000}">
      <text>
        <r>
          <rPr>
            <b/>
            <sz val="8"/>
            <color indexed="81"/>
            <rFont val="Tahoma"/>
          </rPr>
          <t>= Market value of equity / Net income</t>
        </r>
      </text>
    </comment>
  </commentList>
</comments>
</file>

<file path=xl/sharedStrings.xml><?xml version="1.0" encoding="utf-8"?>
<sst xmlns="http://schemas.openxmlformats.org/spreadsheetml/2006/main" count="713" uniqueCount="372">
  <si>
    <t>Equity</t>
  </si>
  <si>
    <t>Borrowing</t>
  </si>
  <si>
    <t>Balance sheet</t>
  </si>
  <si>
    <t>Assets</t>
  </si>
  <si>
    <t>Income statement</t>
  </si>
  <si>
    <t>Net profit</t>
  </si>
  <si>
    <t>Cash flow statement</t>
  </si>
  <si>
    <t>Cash flow from operations</t>
  </si>
  <si>
    <t>Cash flow from financing</t>
  </si>
  <si>
    <t>Dividends</t>
  </si>
  <si>
    <t>Cash flow from investing</t>
  </si>
  <si>
    <t>Net cash flow</t>
  </si>
  <si>
    <t>Debt</t>
  </si>
  <si>
    <t>Free cash flows</t>
  </si>
  <si>
    <t>P/E ratio</t>
  </si>
  <si>
    <t>EBITDA</t>
  </si>
  <si>
    <t>Returns</t>
  </si>
  <si>
    <t>Cost of capital</t>
  </si>
  <si>
    <t>Market values</t>
  </si>
  <si>
    <t>Ratios</t>
  </si>
  <si>
    <t>Tax rate</t>
  </si>
  <si>
    <t>Return on capital</t>
  </si>
  <si>
    <t>Cost of equity</t>
  </si>
  <si>
    <t>comment</t>
  </si>
  <si>
    <t>Interval</t>
  </si>
  <si>
    <t>Margin</t>
  </si>
  <si>
    <t>Coverage ratio</t>
  </si>
  <si>
    <t>Offset</t>
  </si>
  <si>
    <t>Curvatures</t>
  </si>
  <si>
    <t>Step size</t>
  </si>
  <si>
    <r>
      <t>a</t>
    </r>
    <r>
      <rPr>
        <vertAlign val="subscript"/>
        <sz val="10"/>
        <rFont val="Arial"/>
        <family val="2"/>
      </rPr>
      <t>i</t>
    </r>
  </si>
  <si>
    <r>
      <t>b</t>
    </r>
    <r>
      <rPr>
        <vertAlign val="subscript"/>
        <sz val="10"/>
        <rFont val="Arial"/>
        <family val="2"/>
      </rPr>
      <t>i</t>
    </r>
  </si>
  <si>
    <r>
      <t>c</t>
    </r>
    <r>
      <rPr>
        <vertAlign val="subscript"/>
        <sz val="10"/>
        <rFont val="Arial"/>
        <family val="2"/>
      </rPr>
      <t>i</t>
    </r>
  </si>
  <si>
    <t>y</t>
  </si>
  <si>
    <t>Cov. ratio</t>
  </si>
  <si>
    <t>Interest rate</t>
  </si>
  <si>
    <t>dx</t>
  </si>
  <si>
    <t>b</t>
  </si>
  <si>
    <t>a</t>
  </si>
  <si>
    <t>c</t>
  </si>
  <si>
    <t>d</t>
  </si>
  <si>
    <t>y (interp)</t>
  </si>
  <si>
    <t>y final</t>
  </si>
  <si>
    <t>beta</t>
  </si>
  <si>
    <t>alpha</t>
  </si>
  <si>
    <t>Terminal</t>
  </si>
  <si>
    <t>Terminal year</t>
  </si>
  <si>
    <t>row_roc</t>
  </si>
  <si>
    <t>row_leverage</t>
  </si>
  <si>
    <t>row_tax</t>
  </si>
  <si>
    <t>row_risk_free_rate</t>
  </si>
  <si>
    <t>row_growth</t>
  </si>
  <si>
    <t>row_coe</t>
  </si>
  <si>
    <t>row_assets</t>
  </si>
  <si>
    <t>row_debt</t>
  </si>
  <si>
    <t>row_equity</t>
  </si>
  <si>
    <t>row_ebit</t>
  </si>
  <si>
    <t>row_interest</t>
  </si>
  <si>
    <t>row_tax_rate</t>
  </si>
  <si>
    <t>row_net_profit</t>
  </si>
  <si>
    <t>row_dividends</t>
  </si>
  <si>
    <t>row_borrowing</t>
  </si>
  <si>
    <t>row_capex</t>
  </si>
  <si>
    <t>row_fcfe</t>
  </si>
  <si>
    <t>row_fcfd</t>
  </si>
  <si>
    <t>row_fcff</t>
  </si>
  <si>
    <t>row_coverage_ratio</t>
  </si>
  <si>
    <t>row_mve</t>
  </si>
  <si>
    <t>row_pe</t>
  </si>
  <si>
    <t>row_mvf</t>
  </si>
  <si>
    <t>row_ebitda</t>
  </si>
  <si>
    <t>row_ev_ebitda</t>
  </si>
  <si>
    <t>row_wacc</t>
  </si>
  <si>
    <t>row_roe</t>
  </si>
  <si>
    <t>row_interest_rate</t>
  </si>
  <si>
    <t>Number periods</t>
  </si>
  <si>
    <t>Col offset</t>
  </si>
  <si>
    <t>Base year</t>
  </si>
  <si>
    <t>Year</t>
  </si>
  <si>
    <t>n_a</t>
  </si>
  <si>
    <t>n/a</t>
  </si>
  <si>
    <t>Risk free rate</t>
  </si>
  <si>
    <t>Growth rate</t>
  </si>
  <si>
    <t>EBIT</t>
  </si>
  <si>
    <t>(Interest)</t>
  </si>
  <si>
    <t>EBT</t>
  </si>
  <si>
    <t>(Tax)</t>
  </si>
  <si>
    <t>Free cash flow to equity</t>
  </si>
  <si>
    <t>Free cash flow to debt</t>
  </si>
  <si>
    <t>Free cash flow to the firm</t>
  </si>
  <si>
    <t>Market value of equity</t>
  </si>
  <si>
    <t>Market value of debt</t>
  </si>
  <si>
    <t>Market value of firm</t>
  </si>
  <si>
    <t>series_1_anchor_1</t>
  </si>
  <si>
    <t>series_1_anchor_2</t>
  </si>
  <si>
    <t>series_1_anchor_3</t>
  </si>
  <si>
    <t>series_1_anchor_ghost</t>
  </si>
  <si>
    <t>chart_dates</t>
  </si>
  <si>
    <t>row_mve_e</t>
  </si>
  <si>
    <t>row_mvf_f</t>
  </si>
  <si>
    <t>series_2_anchor_1</t>
  </si>
  <si>
    <t>series_2_anchor_2</t>
  </si>
  <si>
    <t>series_2_anchor_3</t>
  </si>
  <si>
    <t>&lt; - ghost max</t>
  </si>
  <si>
    <t>&lt;- ghost min</t>
  </si>
  <si>
    <t>series_2_anchor_ghost</t>
  </si>
  <si>
    <t>Return on equity</t>
  </si>
  <si>
    <t>D/E driver</t>
  </si>
  <si>
    <t>epsilon</t>
  </si>
  <si>
    <t>dt_threshold</t>
  </si>
  <si>
    <t>vary</t>
  </si>
  <si>
    <t>fade_zero_message</t>
  </si>
  <si>
    <t>There is no point varying the phase 2 parameter because you've set the fade period to zero.  In that case the phase 1 parameter persists forever and there is no sensitivity to the phase 2 parameter.</t>
  </si>
  <si>
    <t>initial</t>
  </si>
  <si>
    <t>final</t>
  </si>
  <si>
    <t>Leveraged cost of equity</t>
  </si>
  <si>
    <t>row_unlevered_coe</t>
  </si>
  <si>
    <t>Unleveraged cost of equity</t>
  </si>
  <si>
    <t>Terminal value</t>
  </si>
  <si>
    <t>Non terminal value</t>
  </si>
  <si>
    <t>Shift index</t>
  </si>
  <si>
    <t>sens_shift</t>
  </si>
  <si>
    <t>Change</t>
  </si>
  <si>
    <t>Chart</t>
  </si>
  <si>
    <t>Growth driver</t>
  </si>
  <si>
    <t>Tax driver</t>
  </si>
  <si>
    <t>ROC driver</t>
  </si>
  <si>
    <t>rfr driver</t>
  </si>
  <si>
    <t>Debt / equity ratio</t>
  </si>
  <si>
    <t>Depreciation rate</t>
  </si>
  <si>
    <t>depn driver</t>
  </si>
  <si>
    <t>row_depn</t>
  </si>
  <si>
    <t>row_depn_rate</t>
  </si>
  <si>
    <t>(Depreciation)</t>
  </si>
  <si>
    <t>row_capex_growth</t>
  </si>
  <si>
    <t>row_capex_replacement</t>
  </si>
  <si>
    <t>Plus depreciation</t>
  </si>
  <si>
    <t>ROC sensitivities</t>
  </si>
  <si>
    <t>Driven by ROC sens</t>
  </si>
  <si>
    <t>Driven by tax sens</t>
  </si>
  <si>
    <t>Driven by Depn sens</t>
  </si>
  <si>
    <t>Driven manually</t>
  </si>
  <si>
    <t>Value</t>
  </si>
  <si>
    <t>Sens switch</t>
  </si>
  <si>
    <t>Driven by shift on ROC</t>
  </si>
  <si>
    <t>Driven by shift on depn</t>
  </si>
  <si>
    <t>Driven by shift on tax</t>
  </si>
  <si>
    <t>Cost of debt</t>
  </si>
  <si>
    <t>series_3_anchor_1</t>
  </si>
  <si>
    <t>series_3_anchor_2</t>
  </si>
  <si>
    <t>series_3_anchor_3</t>
  </si>
  <si>
    <t>series_3_anchor_ghost</t>
  </si>
  <si>
    <t>Dates</t>
  </si>
  <si>
    <t>Values</t>
  </si>
  <si>
    <t>Phase 1 high interp</t>
  </si>
  <si>
    <t>Periods</t>
  </si>
  <si>
    <t>Phase 1 value</t>
  </si>
  <si>
    <t>Phase 2 value</t>
  </si>
  <si>
    <t>Phase 1 low interp</t>
  </si>
  <si>
    <t>High</t>
  </si>
  <si>
    <t>Low</t>
  </si>
  <si>
    <t>Phase 2 high interp</t>
  </si>
  <si>
    <t>Phase 2 low interp</t>
  </si>
  <si>
    <t>terminal</t>
  </si>
  <si>
    <t>Initial</t>
  </si>
  <si>
    <t>x</t>
  </si>
  <si>
    <t>Max y</t>
  </si>
  <si>
    <t>Min y</t>
  </si>
  <si>
    <t>Span x</t>
  </si>
  <si>
    <t>dX</t>
  </si>
  <si>
    <t>Arrows</t>
  </si>
  <si>
    <t>left x</t>
  </si>
  <si>
    <t>right x</t>
  </si>
  <si>
    <t>top y</t>
  </si>
  <si>
    <t>top_y_scale</t>
  </si>
  <si>
    <t>left vector</t>
  </si>
  <si>
    <t>right vector</t>
  </si>
  <si>
    <t>main vector</t>
  </si>
  <si>
    <t>Interest margin</t>
  </si>
  <si>
    <t>Choose sensitivity to analyse</t>
  </si>
  <si>
    <t>Inputs (from main page)</t>
  </si>
  <si>
    <t>Equity [market / book] ratio</t>
  </si>
  <si>
    <t>Firm [market / book] ratio</t>
  </si>
  <si>
    <t>in</t>
  </si>
  <si>
    <t>&lt;input</t>
  </si>
  <si>
    <t>=OFFSET(period_table,0,0,chart_points,1)</t>
  </si>
  <si>
    <t>Show sensitivities to the</t>
  </si>
  <si>
    <t>row_equity_margin</t>
  </si>
  <si>
    <t>Equity margin</t>
  </si>
  <si>
    <t>equity margin driver</t>
  </si>
  <si>
    <t>Time-varying assumptions</t>
  </si>
  <si>
    <t>Calculations for interest rate</t>
  </si>
  <si>
    <t>Costs and returns</t>
  </si>
  <si>
    <t>=MAX(MAX(OFFSET(INDIRECT(varies_parameter&amp;"_x_axis"),0,COLUMN(row_roe_column)-COLUMN(column_chart_items))),MAX(OFFSET(INDIRECT(varies_parameter&amp;"_x_axis"),0,COLUMN(row_roc_column)-COLUMN(column_chart_items))))</t>
  </si>
  <si>
    <t>0%</t>
  </si>
  <si>
    <t>=(D27-D28)*top_y_scale+D28</t>
  </si>
  <si>
    <t>=D29</t>
  </si>
  <si>
    <t>=D28</t>
  </si>
  <si>
    <t>=D34</t>
  </si>
  <si>
    <t>=D35</t>
  </si>
  <si>
    <t>=D27</t>
  </si>
  <si>
    <t>=$M$18</t>
  </si>
  <si>
    <t>=$M$14</t>
  </si>
  <si>
    <t>=$M$19</t>
  </si>
  <si>
    <t>=C35</t>
  </si>
  <si>
    <t>=C40</t>
  </si>
  <si>
    <t>Choose percentages to chart</t>
  </si>
  <si>
    <t>Choose ratios to chart</t>
  </si>
  <si>
    <t>Choose values to chart</t>
  </si>
  <si>
    <t>MVD</t>
  </si>
  <si>
    <t>row_mvd</t>
  </si>
  <si>
    <t>Length of fade period (yrs)</t>
  </si>
  <si>
    <t>Chosen scenario (1 or 2)</t>
  </si>
  <si>
    <t>Replacement CAPEX</t>
  </si>
  <si>
    <t>Growth CAPEX</t>
  </si>
  <si>
    <t>Cost of debt (post-tax)</t>
  </si>
  <si>
    <t>Terminal column</t>
  </si>
  <si>
    <t>Error checks</t>
  </si>
  <si>
    <t>&lt;- check</t>
  </si>
  <si>
    <t>Cost of debt (pre tax)</t>
  </si>
  <si>
    <t>Cost of debt (post tax)</t>
  </si>
  <si>
    <t>Statement of changes in equity</t>
  </si>
  <si>
    <t>Opening equity</t>
  </si>
  <si>
    <t>Retained earnings</t>
  </si>
  <si>
    <t>Closing equity</t>
  </si>
  <si>
    <t>Cost of capital [WACC]</t>
  </si>
  <si>
    <t>Post-tax cost of debt</t>
  </si>
  <si>
    <t>Error</t>
  </si>
  <si>
    <t>magic_number</t>
  </si>
  <si>
    <t>&lt;- an offset added to percentages in sensitivity reports to make it unlikely that denominators in terminal value formulae become zero.</t>
  </si>
  <si>
    <t>&lt; this should be greater than epsilon by a factor of at least 10</t>
  </si>
  <si>
    <t>err&gt;</t>
  </si>
  <si>
    <t>Length of initial phase (yrs)</t>
  </si>
  <si>
    <t>Derived time-varying assumptions</t>
  </si>
  <si>
    <t>Ghost</t>
  </si>
  <si>
    <t>Custom chart</t>
  </si>
  <si>
    <t>Coverage ratio not concave</t>
  </si>
  <si>
    <t>Rolling results</t>
  </si>
  <si>
    <t>Economic value added</t>
  </si>
  <si>
    <t>EVA due to assets in place</t>
  </si>
  <si>
    <t>EVA due to growth assets</t>
  </si>
  <si>
    <t>Checks</t>
  </si>
  <si>
    <t>EVA &amp; DCF reconcile</t>
  </si>
  <si>
    <t>row_eva</t>
  </si>
  <si>
    <t>row_eva_aip</t>
  </si>
  <si>
    <t>row_eva_ga</t>
  </si>
  <si>
    <t>Economic value added (EVA)</t>
  </si>
  <si>
    <t>EVA per unit capital and no growth</t>
  </si>
  <si>
    <t>Coverage ratio table</t>
  </si>
  <si>
    <t>Coverage ratio / interest margin</t>
  </si>
  <si>
    <t>Enterprise value / EBITDA</t>
  </si>
  <si>
    <t>major_version</t>
  </si>
  <si>
    <t>minor_version</t>
  </si>
  <si>
    <t>Phase</t>
  </si>
  <si>
    <t>is_ok</t>
  </si>
  <si>
    <t>ok</t>
  </si>
  <si>
    <t>error</t>
  </si>
  <si>
    <t>is_error</t>
  </si>
  <si>
    <t>row_eva_check</t>
  </si>
  <si>
    <t>Time varies</t>
  </si>
  <si>
    <t>Assumptions vary</t>
  </si>
  <si>
    <t>Sensitivity report</t>
  </si>
  <si>
    <t>Error check: Valid year</t>
  </si>
  <si>
    <t>&lt;- Rolling check</t>
  </si>
  <si>
    <t>main_page_error</t>
  </si>
  <si>
    <t>Error on main page</t>
  </si>
  <si>
    <t>the_error_was</t>
  </si>
  <si>
    <t xml:space="preserve">Error reported was: </t>
  </si>
  <si>
    <r>
      <t xml:space="preserve">Each scenario's coverage ratio table is in two columns.  The leftmost column defines coverage ratios.  [Coverage ratio here is interpreted as </t>
    </r>
    <r>
      <rPr>
        <b/>
        <u/>
        <sz val="10"/>
        <rFont val="Arial"/>
        <family val="2"/>
      </rPr>
      <t>earnings divided by interest payments</t>
    </r>
    <r>
      <rPr>
        <sz val="10"/>
        <rFont val="Arial"/>
      </rPr>
      <t xml:space="preserve"> - the larger the ratio the more "comfortably" the firm can afford the payments.]  The right column of the table defines interest margins. In that column the lowest margin should be at the top and the largest at the bottom. Margins can all be the same but you cannot have a smaller margin below a bigger one.  This model adds the interest margin to the risk-free rate to generate a "risky" rate.  A sample of a correctly structured coverage ratio table is on the right:</t>
    </r>
  </si>
  <si>
    <t>Scenario</t>
  </si>
  <si>
    <t>&lt;-Make sure it's at least 1.</t>
  </si>
  <si>
    <t>Calculations for leveraged cost of equity</t>
  </si>
  <si>
    <t>Cov. Ratio</t>
  </si>
  <si>
    <t>Calculations for assumptions vary page - they're picked up on the charts page (which is hidden).</t>
  </si>
  <si>
    <t>Calculations used to generate the sensitivity report</t>
  </si>
  <si>
    <t xml:space="preserve">Drivers </t>
  </si>
  <si>
    <t>Cubic spline coefficients</t>
  </si>
  <si>
    <t>www.tykoh.com</t>
  </si>
  <si>
    <t>^ Disclaimer:  Tykoh Group Pty Limited ("Tykoh") disclaims all warranties of quality, accuracy, correctness, or fitness for a particular purpose.  This spreadsheet is for educational use only and should not be used for pricing or risk management purposes. Copyright (c) 2012 Tykoh Group Pty Limited.  All rights reserved.</t>
  </si>
  <si>
    <t>Book values</t>
  </si>
  <si>
    <t>Book value of equity</t>
  </si>
  <si>
    <t>Book value of debt</t>
  </si>
  <si>
    <t>Book value of firm</t>
  </si>
  <si>
    <t>Introduction</t>
  </si>
  <si>
    <t>User guide</t>
  </si>
  <si>
    <t>A user guide (in pdf format) can be downloaded from the following link:</t>
  </si>
  <si>
    <t>User defined calculations</t>
  </si>
  <si>
    <t>row_udf1</t>
  </si>
  <si>
    <t>row_udf2</t>
  </si>
  <si>
    <t>row_udf3</t>
  </si>
  <si>
    <t>row_udf4</t>
  </si>
  <si>
    <t>row_udf5</t>
  </si>
  <si>
    <t>row_udf6</t>
  </si>
  <si>
    <t>row_udf7</t>
  </si>
  <si>
    <t>row_udf8</t>
  </si>
  <si>
    <t>User defined calc #2</t>
  </si>
  <si>
    <t>User defined calc #7</t>
  </si>
  <si>
    <t>User defined calc #8</t>
  </si>
  <si>
    <t xml:space="preserve">User defined row has label reused </t>
  </si>
  <si>
    <t>&lt; offset of dups</t>
  </si>
  <si>
    <t>&lt; where it occurs</t>
  </si>
  <si>
    <t>Dups of UDF label #1</t>
  </si>
  <si>
    <t>User defined calc #6</t>
  </si>
  <si>
    <t>Inputs</t>
  </si>
  <si>
    <t>User defined calc #3</t>
  </si>
  <si>
    <t>User defined calc #4</t>
  </si>
  <si>
    <t>User defined calc #5</t>
  </si>
  <si>
    <t>You can put a comment here</t>
  </si>
  <si>
    <t>Titles</t>
  </si>
  <si>
    <t>&lt; user choice of parameter to be varied</t>
  </si>
  <si>
    <t>&lt; driven by data table</t>
  </si>
  <si>
    <t>User defined calc #1</t>
  </si>
  <si>
    <t xml:space="preserve">Name </t>
  </si>
  <si>
    <t>Description</t>
  </si>
  <si>
    <t>Index in driver table</t>
  </si>
  <si>
    <t>User choice:</t>
  </si>
  <si>
    <t>Starting value</t>
  </si>
  <si>
    <t>Increment</t>
  </si>
  <si>
    <t>Varying:</t>
  </si>
  <si>
    <t>&lt;- Need to copy and paste this over from the main sheet</t>
  </si>
  <si>
    <t>The reason is that the labels are referred to by data</t>
  </si>
  <si>
    <t>validated cells on this page and data validation cannot</t>
  </si>
  <si>
    <t>refer to cells on other sheets.</t>
  </si>
  <si>
    <t>- Implement and reconcile discounted cash flow, ratio and economic profit approaches</t>
  </si>
  <si>
    <t>- Provide transparency of calculation and methodology</t>
  </si>
  <si>
    <t>- Incorporate sophisticated analytics</t>
  </si>
  <si>
    <t>- Perform comprehensive term structure modelling of capital costs and value evolution</t>
  </si>
  <si>
    <t>- Allow user-defined additions and calculations</t>
  </si>
  <si>
    <t>- Give feedback about error conditions / invalid / inconsistent assumptions</t>
  </si>
  <si>
    <t>- Not use macros or iteration</t>
  </si>
  <si>
    <t>Attribution index</t>
  </si>
  <si>
    <t>Scenario 1 figures</t>
  </si>
  <si>
    <t>Off</t>
  </si>
  <si>
    <t>Coverage ratios</t>
  </si>
  <si>
    <t>=IF(attribution_index=1,F6,IF(attribution_index&gt;=2,I6,C151))</t>
  </si>
  <si>
    <t xml:space="preserve"> </t>
  </si>
  <si>
    <t>Attribution analysis</t>
  </si>
  <si>
    <t>&lt;Sensitivities</t>
  </si>
  <si>
    <t>&lt;Attribution</t>
  </si>
  <si>
    <t>not zero</t>
  </si>
  <si>
    <t>running index</t>
  </si>
  <si>
    <t>index to non-zero</t>
  </si>
  <si>
    <t>Driver</t>
  </si>
  <si>
    <t>Number drivers</t>
  </si>
  <si>
    <t>Start value</t>
  </si>
  <si>
    <t>height</t>
  </si>
  <si>
    <t>normalised</t>
  </si>
  <si>
    <t>Series 1</t>
  </si>
  <si>
    <t>Series 2</t>
  </si>
  <si>
    <t>Series 3</t>
  </si>
  <si>
    <t>Series 4</t>
  </si>
  <si>
    <t>Choose a result whose sensitivity you want to analyse.</t>
  </si>
  <si>
    <t>Scenario 1</t>
  </si>
  <si>
    <t>leave &gt;&gt;&gt;&gt;</t>
  </si>
  <si>
    <t>Attribution</t>
  </si>
  <si>
    <t># points</t>
  </si>
  <si>
    <t>max dev</t>
  </si>
  <si>
    <t>start</t>
  </si>
  <si>
    <t>&amp; set scenario 2</t>
  </si>
  <si>
    <t>n</t>
  </si>
  <si>
    <t>p</t>
  </si>
  <si>
    <t>The chart below breaks down the difference between the two scenarios' results</t>
  </si>
  <si>
    <t>Error at:</t>
  </si>
  <si>
    <t>Error status:</t>
  </si>
  <si>
    <t>&lt; check</t>
  </si>
  <si>
    <t>&lt;check</t>
  </si>
  <si>
    <r>
      <t>Tykoh Valuation Model</t>
    </r>
    <r>
      <rPr>
        <sz val="8"/>
        <color indexed="9"/>
        <rFont val="Arial"/>
        <family val="2"/>
      </rPr>
      <t xml:space="preserve"> (^)</t>
    </r>
  </si>
  <si>
    <t>The model described here is basic in some ways and sophisticated in others - it combines a simple framework with advanced analytics. The model's main purpose is to give "big-picture" insights into valuation dynamics, relationships and sensitivities.</t>
  </si>
  <si>
    <t>The model's design goals are to:</t>
  </si>
  <si>
    <t>The model can be downloaded from the following location:</t>
  </si>
  <si>
    <t>In this model cells you can change are coloured in light blue - like this:</t>
  </si>
  <si>
    <t>TykohValuationUtility.xlsx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</si>
</sst>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164" formatCode="0.0"/>
    <numFmt numFmtId="165" formatCode="#,##0.00\ ;\(#,##0.00\);\-\ "/>
    <numFmt numFmtId="166" formatCode="#,##0\ ;\(#,##0\);0\ "/>
    <numFmt numFmtId="167" formatCode="#,##0.0\ ;\(#,##0.0\);\-\ "/>
    <numFmt numFmtId="168" formatCode="0.0%"/>
    <numFmt numFmtId="169" formatCode="#,##0.0%\ ;\(#,##0.0%\);0.0%"/>
    <numFmt numFmtId="170" formatCode="#,##0.000\ ;\(#,##0.000\);\-\ "/>
    <numFmt numFmtId="171" formatCode="0.0000%"/>
    <numFmt numFmtId="172" formatCode="General\ &quot;-&quot;"/>
    <numFmt numFmtId="173" formatCode="General\ &quot; &quot;"/>
    <numFmt numFmtId="174" formatCode="General\ &quot;+&quot;"/>
    <numFmt numFmtId="175" formatCode="&quot;Coverage ratio - iteration &quot;\ General"/>
    <numFmt numFmtId="176" formatCode="0.000%"/>
    <numFmt numFmtId="177" formatCode="#,##0\ ;\(#,##0\);\-\ "/>
    <numFmt numFmtId="178" formatCode="&quot;+ &quot;\ General"/>
    <numFmt numFmtId="179" formatCode="#,##0.0%\ ;\(#,##0.0%\);\-"/>
    <numFmt numFmtId="180" formatCode="#,##0.0\ ;\(#,##0.0\);0\ "/>
    <numFmt numFmtId="181" formatCode="#,##0.00%\ ;\(#,##0.00%\);\-"/>
    <numFmt numFmtId="182" formatCode="&quot;Series &quot;General"/>
    <numFmt numFmtId="183" formatCode="&quot;Scenario &quot;General"/>
    <numFmt numFmtId="184" formatCode="&quot;Phase &quot;General\ &quot;parameter&quot;"/>
    <numFmt numFmtId="185" formatCode="#,##0.000%\ ;\(#,##0.000%\);\-"/>
    <numFmt numFmtId="186" formatCode="&quot;Phase&quot;\ General\ "/>
    <numFmt numFmtId="187" formatCode="&quot;Phase&quot;\ General"/>
    <numFmt numFmtId="188" formatCode=";;;"/>
    <numFmt numFmtId="189" formatCode="0\ ;0;\-"/>
    <numFmt numFmtId="190" formatCode="&quot;Choose series &quot;General"/>
    <numFmt numFmtId="191" formatCode="0.00000000000000000%"/>
    <numFmt numFmtId="192" formatCode="&quot;Chosen scenario=&quot;General"/>
    <numFmt numFmtId="193" formatCode="&quot;Series&quot;General"/>
    <numFmt numFmtId="194" formatCode="#,##0.00000\ ;\(#,##0.00000\);\-\ "/>
    <numFmt numFmtId="195" formatCode="&quot;Discount factor&quot;"/>
    <numFmt numFmtId="196" formatCode="&quot;Cov. ratio - iteration &quot;\ General"/>
    <numFmt numFmtId="197" formatCode="&quot;Scenario&quot;General"/>
  </numFmts>
  <fonts count="29" x14ac:knownFonts="1">
    <font>
      <sz val="10"/>
      <name val="Arial"/>
    </font>
    <font>
      <sz val="10"/>
      <name val="Arial"/>
    </font>
    <font>
      <b/>
      <sz val="10"/>
      <name val="Arial"/>
      <family val="2"/>
    </font>
    <font>
      <i/>
      <sz val="10"/>
      <name val="Arial"/>
      <family val="2"/>
    </font>
    <font>
      <sz val="8"/>
      <name val="Arial"/>
    </font>
    <font>
      <sz val="10"/>
      <name val="Arial"/>
      <family val="2"/>
    </font>
    <font>
      <vertAlign val="subscript"/>
      <sz val="10"/>
      <name val="Arial"/>
      <family val="2"/>
    </font>
    <font>
      <sz val="10"/>
      <color indexed="10"/>
      <name val="Arial"/>
    </font>
    <font>
      <i/>
      <sz val="10"/>
      <name val="Arial"/>
    </font>
    <font>
      <sz val="10"/>
      <name val="Arial"/>
    </font>
    <font>
      <b/>
      <i/>
      <sz val="10"/>
      <name val="Arial"/>
      <family val="2"/>
    </font>
    <font>
      <b/>
      <sz val="10"/>
      <color indexed="9"/>
      <name val="Arial"/>
      <family val="2"/>
    </font>
    <font>
      <sz val="10"/>
      <color indexed="9"/>
      <name val="Arial"/>
      <family val="2"/>
    </font>
    <font>
      <u/>
      <sz val="10"/>
      <color indexed="12"/>
      <name val="Arial"/>
    </font>
    <font>
      <sz val="8"/>
      <color indexed="81"/>
      <name val="Tahoma"/>
    </font>
    <font>
      <b/>
      <sz val="8"/>
      <color indexed="81"/>
      <name val="Tahoma"/>
    </font>
    <font>
      <b/>
      <sz val="10"/>
      <name val="Arial"/>
    </font>
    <font>
      <sz val="10"/>
      <name val="Arial"/>
    </font>
    <font>
      <b/>
      <u/>
      <sz val="10"/>
      <name val="Arial"/>
      <family val="2"/>
    </font>
    <font>
      <sz val="10"/>
      <color indexed="9"/>
      <name val="Arial"/>
    </font>
    <font>
      <b/>
      <sz val="10"/>
      <color indexed="9"/>
      <name val="Arial"/>
    </font>
    <font>
      <sz val="10"/>
      <color indexed="63"/>
      <name val="Arial"/>
    </font>
    <font>
      <sz val="8"/>
      <color indexed="9"/>
      <name val="Arial"/>
      <family val="2"/>
    </font>
    <font>
      <b/>
      <sz val="8"/>
      <color indexed="55"/>
      <name val="Arial"/>
      <family val="2"/>
    </font>
    <font>
      <i/>
      <sz val="10"/>
      <color indexed="9"/>
      <name val="Arial"/>
    </font>
    <font>
      <i/>
      <sz val="9"/>
      <color indexed="55"/>
      <name val="Arial"/>
      <family val="2"/>
    </font>
    <font>
      <sz val="10"/>
      <color indexed="55"/>
      <name val="Arial"/>
      <family val="2"/>
    </font>
    <font>
      <sz val="10"/>
      <color indexed="31"/>
      <name val="Arial"/>
    </font>
    <font>
      <b/>
      <sz val="10"/>
      <color indexed="31"/>
      <name val="Arial"/>
    </font>
  </fonts>
  <fills count="11">
    <fill>
      <patternFill patternType="none"/>
    </fill>
    <fill>
      <patternFill patternType="gray125"/>
    </fill>
    <fill>
      <patternFill patternType="solid">
        <fgColor indexed="31"/>
        <bgColor indexed="64"/>
      </patternFill>
    </fill>
    <fill>
      <patternFill patternType="solid">
        <fgColor indexed="41"/>
        <bgColor indexed="64"/>
      </patternFill>
    </fill>
    <fill>
      <patternFill patternType="solid">
        <fgColor indexed="62"/>
        <bgColor indexed="64"/>
      </patternFill>
    </fill>
    <fill>
      <patternFill patternType="solid">
        <fgColor indexed="15"/>
        <bgColor indexed="64"/>
      </patternFill>
    </fill>
    <fill>
      <patternFill patternType="solid">
        <fgColor indexed="13"/>
        <bgColor indexed="64"/>
      </patternFill>
    </fill>
    <fill>
      <patternFill patternType="solid">
        <fgColor indexed="11"/>
        <bgColor indexed="64"/>
      </patternFill>
    </fill>
    <fill>
      <patternFill patternType="solid">
        <fgColor indexed="47"/>
        <bgColor indexed="64"/>
      </patternFill>
    </fill>
    <fill>
      <patternFill patternType="solid">
        <fgColor indexed="45"/>
        <bgColor indexed="64"/>
      </patternFill>
    </fill>
    <fill>
      <patternFill patternType="solid">
        <fgColor indexed="43"/>
        <bgColor indexed="64"/>
      </patternFill>
    </fill>
  </fills>
  <borders count="84">
    <border>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style="medium">
        <color indexed="64"/>
      </right>
      <top style="thin">
        <color indexed="22"/>
      </top>
      <bottom/>
      <diagonal/>
    </border>
    <border>
      <left/>
      <right style="medium">
        <color indexed="64"/>
      </right>
      <top style="medium">
        <color indexed="64"/>
      </top>
      <bottom style="thin">
        <color indexed="22"/>
      </bottom>
      <diagonal/>
    </border>
    <border>
      <left/>
      <right style="medium">
        <color indexed="64"/>
      </right>
      <top style="thin">
        <color indexed="22"/>
      </top>
      <bottom style="thin">
        <color indexed="22"/>
      </bottom>
      <diagonal/>
    </border>
    <border>
      <left/>
      <right style="medium">
        <color indexed="64"/>
      </right>
      <top style="thin">
        <color indexed="22"/>
      </top>
      <bottom style="medium">
        <color indexed="64"/>
      </bottom>
      <diagonal/>
    </border>
    <border>
      <left style="thin">
        <color indexed="64"/>
      </left>
      <right style="thin">
        <color indexed="55"/>
      </right>
      <top style="thin">
        <color indexed="55"/>
      </top>
      <bottom style="thin">
        <color indexed="55"/>
      </bottom>
      <diagonal/>
    </border>
    <border>
      <left style="thin">
        <color indexed="55"/>
      </left>
      <right style="thin">
        <color indexed="64"/>
      </right>
      <top style="thin">
        <color indexed="55"/>
      </top>
      <bottom style="thin">
        <color indexed="55"/>
      </bottom>
      <diagonal/>
    </border>
    <border>
      <left style="thin">
        <color indexed="64"/>
      </left>
      <right style="thin">
        <color indexed="55"/>
      </right>
      <top style="thin">
        <color indexed="55"/>
      </top>
      <bottom style="thin">
        <color indexed="64"/>
      </bottom>
      <diagonal/>
    </border>
    <border>
      <left style="thin">
        <color indexed="55"/>
      </left>
      <right style="thin">
        <color indexed="64"/>
      </right>
      <top style="thin">
        <color indexed="55"/>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64"/>
      </left>
      <right/>
      <top/>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top/>
      <bottom style="thin">
        <color indexed="64"/>
      </bottom>
      <diagonal/>
    </border>
    <border>
      <left style="thin">
        <color indexed="64"/>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right style="thin">
        <color indexed="64"/>
      </right>
      <top/>
      <bottom/>
      <diagonal/>
    </border>
    <border>
      <left style="thin">
        <color indexed="64"/>
      </left>
      <right/>
      <top style="thin">
        <color indexed="64"/>
      </top>
      <bottom style="thin">
        <color indexed="55"/>
      </bottom>
      <diagonal/>
    </border>
    <border>
      <left/>
      <right style="thin">
        <color indexed="64"/>
      </right>
      <top style="thin">
        <color indexed="64"/>
      </top>
      <bottom style="thin">
        <color indexed="55"/>
      </bottom>
      <diagonal/>
    </border>
    <border>
      <left style="medium">
        <color indexed="64"/>
      </left>
      <right/>
      <top style="medium">
        <color indexed="64"/>
      </top>
      <bottom/>
      <diagonal/>
    </border>
    <border>
      <left style="thin">
        <color indexed="64"/>
      </left>
      <right style="thin">
        <color indexed="55"/>
      </right>
      <top style="thin">
        <color indexed="64"/>
      </top>
      <bottom style="thin">
        <color indexed="55"/>
      </bottom>
      <diagonal/>
    </border>
    <border>
      <left style="thin">
        <color indexed="55"/>
      </left>
      <right style="thin">
        <color indexed="64"/>
      </right>
      <top style="thin">
        <color indexed="64"/>
      </top>
      <bottom style="thin">
        <color indexed="55"/>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22"/>
      </bottom>
      <diagonal/>
    </border>
    <border>
      <left style="thin">
        <color indexed="64"/>
      </left>
      <right/>
      <top style="thin">
        <color indexed="22"/>
      </top>
      <bottom style="thin">
        <color indexed="22"/>
      </bottom>
      <diagonal/>
    </border>
    <border>
      <left style="thin">
        <color indexed="64"/>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64"/>
      </left>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style="thin">
        <color indexed="22"/>
      </left>
      <right/>
      <top style="thin">
        <color indexed="22"/>
      </top>
      <bottom/>
      <diagonal/>
    </border>
    <border>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
      <left/>
      <right/>
      <top/>
      <bottom style="thin">
        <color indexed="22"/>
      </bottom>
      <diagonal/>
    </border>
    <border>
      <left/>
      <right style="thin">
        <color indexed="22"/>
      </right>
      <top/>
      <bottom style="thin">
        <color indexed="22"/>
      </bottom>
      <diagonal/>
    </border>
    <border>
      <left style="thin">
        <color indexed="64"/>
      </left>
      <right style="thin">
        <color indexed="64"/>
      </right>
      <top style="thin">
        <color indexed="22"/>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10"/>
      </left>
      <right/>
      <top style="medium">
        <color indexed="10"/>
      </top>
      <bottom/>
      <diagonal/>
    </border>
    <border>
      <left/>
      <right/>
      <top style="medium">
        <color indexed="10"/>
      </top>
      <bottom/>
      <diagonal/>
    </border>
    <border>
      <left/>
      <right style="medium">
        <color indexed="10"/>
      </right>
      <top style="medium">
        <color indexed="10"/>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s>
  <cellStyleXfs count="3">
    <xf numFmtId="0" fontId="0" fillId="0" borderId="0"/>
    <xf numFmtId="0" fontId="13" fillId="0" borderId="0" applyNumberFormat="0" applyFill="0" applyBorder="0" applyAlignment="0" applyProtection="0">
      <alignment vertical="top"/>
      <protection locked="0"/>
    </xf>
    <xf numFmtId="9" fontId="1" fillId="0" borderId="0" applyFont="0" applyFill="0" applyBorder="0" applyAlignment="0" applyProtection="0"/>
  </cellStyleXfs>
  <cellXfs count="568">
    <xf numFmtId="0" fontId="0" fillId="0" borderId="0" xfId="0"/>
    <xf numFmtId="0" fontId="1" fillId="0" borderId="0" xfId="0" applyFont="1" applyFill="1" applyProtection="1">
      <protection locked="0"/>
    </xf>
    <xf numFmtId="0" fontId="0" fillId="0" borderId="0" xfId="0" applyNumberFormat="1" applyFill="1" applyBorder="1" applyProtection="1">
      <protection hidden="1"/>
    </xf>
    <xf numFmtId="0" fontId="0" fillId="0" borderId="0" xfId="0" applyFill="1" applyProtection="1"/>
    <xf numFmtId="0" fontId="0" fillId="2" borderId="0" xfId="0" applyNumberFormat="1" applyFill="1" applyBorder="1" applyProtection="1">
      <protection hidden="1"/>
    </xf>
    <xf numFmtId="0" fontId="0" fillId="0" borderId="0" xfId="0" applyNumberFormat="1" applyFill="1" applyBorder="1" applyAlignment="1" applyProtection="1">
      <protection hidden="1"/>
    </xf>
    <xf numFmtId="0" fontId="0" fillId="3" borderId="3" xfId="0" applyNumberFormat="1" applyFill="1" applyBorder="1" applyProtection="1">
      <protection locked="0"/>
    </xf>
    <xf numFmtId="0" fontId="0" fillId="3" borderId="4" xfId="0" applyNumberFormat="1" applyFill="1" applyBorder="1" applyProtection="1">
      <protection locked="0"/>
    </xf>
    <xf numFmtId="0" fontId="0" fillId="3" borderId="5" xfId="0" applyNumberFormat="1" applyFill="1" applyBorder="1" applyProtection="1">
      <protection locked="0"/>
    </xf>
    <xf numFmtId="0" fontId="0" fillId="3" borderId="6" xfId="0" applyNumberFormat="1" applyFill="1" applyBorder="1" applyProtection="1">
      <protection locked="0"/>
    </xf>
    <xf numFmtId="0" fontId="1" fillId="0" borderId="0" xfId="0" applyFont="1" applyFill="1" applyProtection="1"/>
    <xf numFmtId="0" fontId="1" fillId="0" borderId="0" xfId="0" applyFont="1" applyFill="1" applyBorder="1" applyProtection="1"/>
    <xf numFmtId="168" fontId="0" fillId="3" borderId="7" xfId="0" applyNumberFormat="1" applyFill="1" applyBorder="1" applyProtection="1">
      <protection locked="0"/>
    </xf>
    <xf numFmtId="168" fontId="0" fillId="3" borderId="8" xfId="0" applyNumberFormat="1" applyFill="1" applyBorder="1" applyProtection="1">
      <protection locked="0"/>
    </xf>
    <xf numFmtId="168" fontId="0" fillId="3" borderId="9" xfId="0" applyNumberFormat="1" applyFill="1" applyBorder="1" applyProtection="1">
      <protection locked="0"/>
    </xf>
    <xf numFmtId="168" fontId="0" fillId="3" borderId="10" xfId="0" applyNumberFormat="1" applyFill="1" applyBorder="1" applyProtection="1">
      <protection locked="0"/>
    </xf>
    <xf numFmtId="0" fontId="0" fillId="0" borderId="0" xfId="0" applyNumberFormat="1" applyFill="1" applyBorder="1" applyProtection="1">
      <protection locked="0"/>
    </xf>
    <xf numFmtId="0" fontId="11" fillId="4" borderId="0" xfId="0" applyFont="1" applyFill="1" applyProtection="1"/>
    <xf numFmtId="0" fontId="0" fillId="0" borderId="0" xfId="0" applyAlignment="1" applyProtection="1">
      <alignment vertical="top"/>
    </xf>
    <xf numFmtId="0" fontId="23" fillId="0" borderId="0" xfId="0" applyFont="1" applyFill="1" applyAlignment="1" applyProtection="1">
      <alignment horizontal="center"/>
    </xf>
    <xf numFmtId="0" fontId="0" fillId="3" borderId="2" xfId="0" applyFill="1" applyBorder="1" applyProtection="1">
      <protection locked="0"/>
    </xf>
    <xf numFmtId="165" fontId="0" fillId="3" borderId="2" xfId="0" applyNumberFormat="1" applyFill="1" applyBorder="1" applyProtection="1">
      <protection locked="0"/>
    </xf>
    <xf numFmtId="0" fontId="1" fillId="0" borderId="0" xfId="0" applyNumberFormat="1" applyFont="1" applyFill="1" applyBorder="1" applyProtection="1">
      <protection hidden="1"/>
    </xf>
    <xf numFmtId="0" fontId="1" fillId="0" borderId="0" xfId="0" applyNumberFormat="1" applyFont="1" applyFill="1" applyBorder="1" applyAlignment="1" applyProtection="1">
      <protection hidden="1"/>
    </xf>
    <xf numFmtId="0" fontId="0" fillId="0" borderId="0" xfId="0" applyProtection="1"/>
    <xf numFmtId="0" fontId="2" fillId="0" borderId="0" xfId="0" applyFont="1" applyProtection="1"/>
    <xf numFmtId="167" fontId="0" fillId="3" borderId="9" xfId="0" applyNumberFormat="1" applyFill="1" applyBorder="1" applyProtection="1">
      <protection locked="0"/>
    </xf>
    <xf numFmtId="0" fontId="7" fillId="0" borderId="0" xfId="0" applyFont="1" applyProtection="1"/>
    <xf numFmtId="182" fontId="2" fillId="0" borderId="0" xfId="0" applyNumberFormat="1" applyFont="1" applyFill="1" applyProtection="1"/>
    <xf numFmtId="0" fontId="0" fillId="0" borderId="0" xfId="0" quotePrefix="1" applyProtection="1"/>
    <xf numFmtId="0" fontId="7" fillId="0" borderId="0" xfId="0" applyFont="1" applyFill="1" applyBorder="1" applyProtection="1"/>
    <xf numFmtId="0" fontId="7" fillId="0" borderId="0" xfId="0" applyFont="1" applyFill="1" applyProtection="1"/>
    <xf numFmtId="0" fontId="9" fillId="0" borderId="0" xfId="0" applyFont="1" applyFill="1" applyProtection="1"/>
    <xf numFmtId="0" fontId="1" fillId="5" borderId="0" xfId="0" applyFont="1" applyFill="1" applyBorder="1" applyProtection="1"/>
    <xf numFmtId="0" fontId="9" fillId="0" borderId="0" xfId="0" applyFont="1" applyFill="1" applyBorder="1" applyProtection="1"/>
    <xf numFmtId="0" fontId="8" fillId="0" borderId="0" xfId="0" applyFont="1" applyFill="1" applyBorder="1" applyProtection="1"/>
    <xf numFmtId="0" fontId="0" fillId="0" borderId="0" xfId="0" applyBorder="1" applyProtection="1"/>
    <xf numFmtId="0" fontId="9" fillId="0" borderId="0" xfId="0" applyFont="1" applyFill="1" applyBorder="1" applyAlignment="1" applyProtection="1">
      <alignment horizontal="right"/>
    </xf>
    <xf numFmtId="9" fontId="9" fillId="0" borderId="0" xfId="2" applyFont="1" applyFill="1" applyBorder="1" applyProtection="1"/>
    <xf numFmtId="168" fontId="9" fillId="0" borderId="0" xfId="2" applyNumberFormat="1" applyFont="1" applyFill="1" applyBorder="1" applyAlignment="1" applyProtection="1">
      <alignment horizontal="right"/>
    </xf>
    <xf numFmtId="168" fontId="9" fillId="0" borderId="0" xfId="2" applyNumberFormat="1" applyFont="1" applyFill="1" applyBorder="1" applyAlignment="1" applyProtection="1">
      <alignment horizontal="left"/>
    </xf>
    <xf numFmtId="0" fontId="0" fillId="6" borderId="0" xfId="0" applyFill="1" applyProtection="1"/>
    <xf numFmtId="168" fontId="7" fillId="0" borderId="0" xfId="2" applyNumberFormat="1" applyFont="1" applyProtection="1"/>
    <xf numFmtId="9" fontId="0" fillId="0" borderId="0" xfId="2" applyFont="1" applyProtection="1"/>
    <xf numFmtId="10" fontId="0" fillId="0" borderId="0" xfId="2" applyNumberFormat="1" applyFont="1" applyProtection="1"/>
    <xf numFmtId="10" fontId="0" fillId="3" borderId="0" xfId="2" applyNumberFormat="1" applyFont="1" applyFill="1" applyProtection="1"/>
    <xf numFmtId="187" fontId="0" fillId="0" borderId="11" xfId="0" applyNumberFormat="1" applyFill="1" applyBorder="1" applyProtection="1"/>
    <xf numFmtId="191" fontId="0" fillId="0" borderId="0" xfId="0" applyNumberFormat="1" applyProtection="1"/>
    <xf numFmtId="184" fontId="0" fillId="0" borderId="0" xfId="0" applyNumberFormat="1" applyFill="1" applyProtection="1"/>
    <xf numFmtId="0" fontId="0" fillId="0" borderId="0" xfId="0" applyAlignment="1" applyProtection="1">
      <alignment vertical="top"/>
      <protection locked="0"/>
    </xf>
    <xf numFmtId="0" fontId="0" fillId="0" borderId="0" xfId="0" applyFill="1" applyProtection="1">
      <protection locked="0"/>
    </xf>
    <xf numFmtId="0" fontId="1" fillId="0" borderId="12" xfId="0" applyFont="1" applyFill="1" applyBorder="1" applyAlignment="1" applyProtection="1">
      <alignment horizontal="left"/>
      <protection locked="0"/>
    </xf>
    <xf numFmtId="0" fontId="1" fillId="0" borderId="13" xfId="0" applyFont="1" applyFill="1" applyBorder="1" applyAlignment="1" applyProtection="1">
      <alignment horizontal="center"/>
      <protection locked="0"/>
    </xf>
    <xf numFmtId="0" fontId="1" fillId="0" borderId="14" xfId="0" applyFont="1" applyFill="1" applyBorder="1" applyAlignment="1" applyProtection="1">
      <alignment horizontal="center"/>
      <protection locked="0"/>
    </xf>
    <xf numFmtId="186" fontId="0" fillId="3" borderId="12" xfId="0" applyNumberFormat="1" applyFill="1" applyBorder="1" applyAlignment="1" applyProtection="1">
      <alignment horizontal="center" vertical="center"/>
      <protection locked="0"/>
    </xf>
    <xf numFmtId="0" fontId="0" fillId="3" borderId="1" xfId="0" applyFill="1" applyBorder="1" applyProtection="1"/>
    <xf numFmtId="10" fontId="0" fillId="3" borderId="2" xfId="2" applyNumberFormat="1" applyFont="1" applyFill="1" applyBorder="1" applyProtection="1">
      <protection locked="0"/>
    </xf>
    <xf numFmtId="0" fontId="0" fillId="3" borderId="15" xfId="0" applyFill="1" applyBorder="1" applyAlignment="1" applyProtection="1">
      <alignment horizontal="center" vertical="center"/>
      <protection locked="0"/>
    </xf>
    <xf numFmtId="0" fontId="19" fillId="4" borderId="0" xfId="0" applyFont="1" applyFill="1" applyProtection="1"/>
    <xf numFmtId="0" fontId="0" fillId="0" borderId="0" xfId="0" applyNumberFormat="1" applyFill="1" applyBorder="1" applyAlignment="1" applyProtection="1">
      <alignment vertical="top"/>
      <protection locked="0"/>
    </xf>
    <xf numFmtId="0" fontId="0" fillId="0" borderId="0" xfId="0" applyFill="1" applyBorder="1" applyProtection="1"/>
    <xf numFmtId="0" fontId="1" fillId="0" borderId="0" xfId="0" applyFont="1" applyFill="1" applyBorder="1" applyAlignment="1" applyProtection="1">
      <alignment vertical="top"/>
      <protection locked="0"/>
    </xf>
    <xf numFmtId="0" fontId="0" fillId="0" borderId="0" xfId="0" quotePrefix="1" applyAlignment="1" applyProtection="1">
      <alignment vertical="top"/>
    </xf>
    <xf numFmtId="0" fontId="1" fillId="0" borderId="11" xfId="0" applyFont="1" applyFill="1" applyBorder="1" applyProtection="1"/>
    <xf numFmtId="0" fontId="0" fillId="0" borderId="16" xfId="0" applyBorder="1" applyProtection="1"/>
    <xf numFmtId="0" fontId="0" fillId="0" borderId="17" xfId="0" applyBorder="1" applyProtection="1"/>
    <xf numFmtId="0" fontId="0" fillId="0" borderId="0" xfId="0" applyAlignment="1" applyProtection="1">
      <alignment horizontal="right"/>
    </xf>
    <xf numFmtId="0" fontId="19" fillId="0" borderId="0" xfId="0" applyFont="1" applyFill="1" applyProtection="1"/>
    <xf numFmtId="0" fontId="13" fillId="0" borderId="0" xfId="1" applyFill="1" applyAlignment="1" applyProtection="1"/>
    <xf numFmtId="10" fontId="0" fillId="0" borderId="0" xfId="0" applyNumberFormat="1" applyFill="1" applyProtection="1"/>
    <xf numFmtId="0" fontId="0" fillId="0" borderId="0" xfId="0" applyFill="1" applyBorder="1" applyAlignment="1" applyProtection="1"/>
    <xf numFmtId="0" fontId="13" fillId="0" borderId="0" xfId="1" applyFill="1" applyBorder="1" applyAlignment="1" applyProtection="1">
      <alignment vertical="top"/>
    </xf>
    <xf numFmtId="183" fontId="1" fillId="0" borderId="0" xfId="0" applyNumberFormat="1" applyFont="1" applyFill="1" applyBorder="1" applyAlignment="1" applyProtection="1">
      <alignment horizontal="center" vertical="top"/>
    </xf>
    <xf numFmtId="0" fontId="19" fillId="0" borderId="0" xfId="0" applyFont="1" applyFill="1" applyAlignment="1" applyProtection="1"/>
    <xf numFmtId="0" fontId="1" fillId="0" borderId="12" xfId="0" applyFont="1" applyFill="1" applyBorder="1" applyAlignment="1" applyProtection="1">
      <alignment horizontal="left"/>
    </xf>
    <xf numFmtId="0" fontId="1" fillId="0" borderId="13" xfId="0" applyFont="1" applyFill="1" applyBorder="1" applyAlignment="1" applyProtection="1">
      <alignment horizontal="center"/>
    </xf>
    <xf numFmtId="0" fontId="1" fillId="0" borderId="14" xfId="0" applyFont="1" applyFill="1" applyBorder="1" applyAlignment="1" applyProtection="1">
      <alignment horizontal="center"/>
    </xf>
    <xf numFmtId="0" fontId="0" fillId="0" borderId="0" xfId="0" applyFill="1" applyAlignment="1" applyProtection="1">
      <alignment horizontal="center"/>
    </xf>
    <xf numFmtId="0" fontId="0" fillId="0" borderId="7" xfId="0" applyFill="1" applyBorder="1" applyAlignment="1" applyProtection="1">
      <alignment horizontal="center"/>
    </xf>
    <xf numFmtId="0" fontId="0" fillId="0" borderId="8" xfId="0" applyFill="1" applyBorder="1" applyAlignment="1" applyProtection="1">
      <alignment horizontal="center"/>
    </xf>
    <xf numFmtId="0" fontId="0" fillId="0" borderId="0" xfId="0" applyFill="1" applyAlignment="1" applyProtection="1"/>
    <xf numFmtId="0" fontId="1" fillId="0" borderId="13" xfId="0" applyFont="1" applyBorder="1" applyProtection="1"/>
    <xf numFmtId="168" fontId="1" fillId="0" borderId="18" xfId="0" applyNumberFormat="1" applyFont="1" applyFill="1" applyBorder="1" applyProtection="1"/>
    <xf numFmtId="168" fontId="1" fillId="0" borderId="19" xfId="0" applyNumberFormat="1" applyFont="1" applyFill="1" applyBorder="1" applyProtection="1"/>
    <xf numFmtId="0" fontId="1" fillId="0" borderId="20" xfId="0" applyFont="1" applyFill="1" applyBorder="1" applyProtection="1"/>
    <xf numFmtId="168" fontId="1" fillId="0" borderId="21" xfId="0" applyNumberFormat="1" applyFont="1" applyFill="1" applyBorder="1" applyProtection="1"/>
    <xf numFmtId="168" fontId="1" fillId="0" borderId="22" xfId="0" applyNumberFormat="1" applyFont="1" applyFill="1" applyBorder="1" applyProtection="1"/>
    <xf numFmtId="9" fontId="0" fillId="0" borderId="0" xfId="0" applyNumberFormat="1" applyFill="1" applyBorder="1" applyProtection="1"/>
    <xf numFmtId="169" fontId="0" fillId="0" borderId="0" xfId="0" applyNumberFormat="1" applyFill="1" applyProtection="1"/>
    <xf numFmtId="168" fontId="1" fillId="0" borderId="0" xfId="0" applyNumberFormat="1" applyFont="1" applyFill="1" applyBorder="1" applyAlignment="1" applyProtection="1"/>
    <xf numFmtId="9" fontId="1" fillId="0" borderId="0" xfId="0" applyNumberFormat="1" applyFont="1" applyFill="1" applyBorder="1" applyAlignment="1" applyProtection="1"/>
    <xf numFmtId="0" fontId="1" fillId="0" borderId="23" xfId="0" applyFont="1" applyFill="1" applyBorder="1" applyProtection="1"/>
    <xf numFmtId="168" fontId="1" fillId="0" borderId="24" xfId="0" applyNumberFormat="1" applyFont="1" applyFill="1" applyBorder="1" applyProtection="1"/>
    <xf numFmtId="168" fontId="1" fillId="0" borderId="25" xfId="0" applyNumberFormat="1" applyFont="1" applyFill="1" applyBorder="1" applyProtection="1"/>
    <xf numFmtId="0" fontId="1" fillId="0" borderId="20" xfId="0" applyFont="1" applyFill="1" applyBorder="1" applyAlignment="1" applyProtection="1">
      <alignment horizontal="right" wrapText="1"/>
    </xf>
    <xf numFmtId="0" fontId="1" fillId="0" borderId="26" xfId="0" applyFont="1" applyFill="1" applyBorder="1" applyAlignment="1" applyProtection="1">
      <alignment horizontal="center" wrapText="1"/>
    </xf>
    <xf numFmtId="0" fontId="0" fillId="0" borderId="0" xfId="0" applyFill="1" applyBorder="1" applyAlignment="1" applyProtection="1">
      <alignment horizontal="center" vertical="top" wrapText="1"/>
    </xf>
    <xf numFmtId="0" fontId="0" fillId="0" borderId="27" xfId="0" applyFill="1" applyBorder="1" applyAlignment="1" applyProtection="1">
      <alignment horizontal="right" wrapText="1"/>
    </xf>
    <xf numFmtId="0" fontId="0" fillId="0" borderId="28" xfId="0" applyFill="1" applyBorder="1" applyAlignment="1" applyProtection="1">
      <alignment horizontal="right" wrapText="1"/>
    </xf>
    <xf numFmtId="0" fontId="0" fillId="0" borderId="0" xfId="0" applyFill="1" applyBorder="1" applyAlignment="1" applyProtection="1">
      <alignment horizontal="center" wrapText="1"/>
    </xf>
    <xf numFmtId="0" fontId="1" fillId="0" borderId="0" xfId="0" applyFont="1" applyFill="1" applyBorder="1" applyAlignment="1" applyProtection="1">
      <alignment horizontal="right"/>
    </xf>
    <xf numFmtId="167" fontId="1" fillId="0" borderId="20" xfId="0" applyNumberFormat="1" applyFont="1" applyFill="1" applyBorder="1" applyAlignment="1" applyProtection="1">
      <alignment horizontal="right"/>
    </xf>
    <xf numFmtId="0" fontId="0" fillId="0" borderId="0" xfId="0" applyFill="1" applyBorder="1" applyAlignment="1" applyProtection="1">
      <alignment horizontal="right"/>
    </xf>
    <xf numFmtId="167" fontId="0" fillId="0" borderId="7" xfId="0" applyNumberFormat="1" applyFill="1" applyBorder="1" applyProtection="1"/>
    <xf numFmtId="167" fontId="1" fillId="0" borderId="0" xfId="0" applyNumberFormat="1" applyFont="1" applyFill="1" applyBorder="1" applyAlignment="1" applyProtection="1">
      <alignment horizontal="right"/>
    </xf>
    <xf numFmtId="169" fontId="1" fillId="0" borderId="0" xfId="0" applyNumberFormat="1" applyFont="1" applyFill="1" applyBorder="1" applyAlignment="1" applyProtection="1">
      <alignment horizontal="right"/>
    </xf>
    <xf numFmtId="167" fontId="1" fillId="0" borderId="20" xfId="0" applyNumberFormat="1" applyFont="1" applyFill="1" applyBorder="1" applyProtection="1"/>
    <xf numFmtId="169" fontId="0" fillId="0" borderId="0" xfId="0" applyNumberFormat="1" applyFill="1" applyBorder="1" applyAlignment="1" applyProtection="1">
      <alignment horizontal="right"/>
    </xf>
    <xf numFmtId="167" fontId="1" fillId="0" borderId="0" xfId="0" applyNumberFormat="1" applyFont="1" applyFill="1" applyBorder="1" applyAlignment="1" applyProtection="1"/>
    <xf numFmtId="169" fontId="1" fillId="0" borderId="0" xfId="0" applyNumberFormat="1" applyFont="1" applyFill="1" applyBorder="1" applyAlignment="1" applyProtection="1"/>
    <xf numFmtId="173" fontId="0" fillId="0" borderId="0" xfId="0" applyNumberFormat="1" applyFill="1" applyProtection="1"/>
    <xf numFmtId="169" fontId="0" fillId="0" borderId="0" xfId="0" applyNumberFormat="1" applyFill="1" applyBorder="1" applyProtection="1"/>
    <xf numFmtId="167" fontId="1" fillId="0" borderId="23" xfId="0" applyNumberFormat="1" applyFont="1" applyFill="1" applyBorder="1" applyProtection="1"/>
    <xf numFmtId="0" fontId="0" fillId="0" borderId="0" xfId="0" applyFill="1" applyAlignment="1" applyProtection="1">
      <alignment horizontal="left"/>
    </xf>
    <xf numFmtId="0" fontId="0" fillId="0" borderId="29" xfId="0" applyFill="1" applyBorder="1" applyProtection="1"/>
    <xf numFmtId="0" fontId="0" fillId="0" borderId="30" xfId="0" applyFill="1" applyBorder="1" applyAlignment="1" applyProtection="1">
      <alignment horizontal="center" wrapText="1"/>
    </xf>
    <xf numFmtId="0" fontId="0" fillId="0" borderId="31" xfId="0" applyFill="1" applyBorder="1" applyAlignment="1" applyProtection="1">
      <alignment horizontal="center"/>
    </xf>
    <xf numFmtId="0" fontId="0" fillId="0" borderId="32" xfId="0" applyFill="1" applyBorder="1" applyProtection="1"/>
    <xf numFmtId="0" fontId="0" fillId="0" borderId="0" xfId="0" applyBorder="1" applyAlignment="1" applyProtection="1">
      <alignment vertical="top" wrapText="1"/>
    </xf>
    <xf numFmtId="167" fontId="0" fillId="0" borderId="7" xfId="0" applyNumberFormat="1" applyFill="1" applyBorder="1" applyAlignment="1" applyProtection="1">
      <alignment horizontal="right"/>
    </xf>
    <xf numFmtId="169" fontId="0" fillId="0" borderId="8" xfId="0" applyNumberFormat="1" applyFill="1" applyBorder="1" applyAlignment="1" applyProtection="1">
      <alignment horizontal="right"/>
    </xf>
    <xf numFmtId="169" fontId="0" fillId="0" borderId="8" xfId="0" applyNumberFormat="1" applyFill="1" applyBorder="1" applyProtection="1"/>
    <xf numFmtId="0" fontId="0" fillId="0" borderId="33" xfId="0" applyFill="1" applyBorder="1" applyProtection="1"/>
    <xf numFmtId="0" fontId="0" fillId="0" borderId="34" xfId="0" applyFill="1" applyBorder="1" applyProtection="1"/>
    <xf numFmtId="0" fontId="0" fillId="0" borderId="35" xfId="0" applyFill="1" applyBorder="1" applyProtection="1"/>
    <xf numFmtId="167" fontId="0" fillId="0" borderId="9" xfId="0" applyNumberFormat="1" applyFill="1" applyBorder="1" applyProtection="1"/>
    <xf numFmtId="169" fontId="0" fillId="0" borderId="10" xfId="0" applyNumberFormat="1" applyFill="1" applyBorder="1" applyProtection="1"/>
    <xf numFmtId="9" fontId="0" fillId="0" borderId="0" xfId="0" applyNumberFormat="1" applyFill="1" applyProtection="1"/>
    <xf numFmtId="10" fontId="0" fillId="0" borderId="0" xfId="2" applyNumberFormat="1" applyFont="1" applyFill="1" applyAlignment="1" applyProtection="1">
      <alignment horizontal="right"/>
    </xf>
    <xf numFmtId="0" fontId="20" fillId="0" borderId="0" xfId="0" applyFont="1" applyFill="1" applyProtection="1"/>
    <xf numFmtId="0" fontId="2" fillId="0" borderId="0" xfId="0" applyFont="1" applyFill="1" applyProtection="1"/>
    <xf numFmtId="0" fontId="2" fillId="0" borderId="0" xfId="0" applyNumberFormat="1" applyFont="1" applyFill="1" applyProtection="1"/>
    <xf numFmtId="0" fontId="24" fillId="0" borderId="0" xfId="0" applyFont="1" applyFill="1" applyProtection="1"/>
    <xf numFmtId="0" fontId="3" fillId="0" borderId="0" xfId="0" applyFont="1" applyFill="1" applyProtection="1"/>
    <xf numFmtId="166" fontId="3" fillId="0" borderId="0" xfId="0" applyNumberFormat="1" applyFont="1" applyFill="1" applyBorder="1" applyProtection="1"/>
    <xf numFmtId="166" fontId="0" fillId="0" borderId="0" xfId="0" applyNumberFormat="1" applyFill="1" applyBorder="1" applyProtection="1"/>
    <xf numFmtId="0" fontId="0" fillId="0" borderId="0" xfId="0" applyNumberFormat="1" applyFill="1" applyBorder="1" applyProtection="1"/>
    <xf numFmtId="179" fontId="0" fillId="0" borderId="0" xfId="0" applyNumberFormat="1" applyFill="1" applyBorder="1" applyProtection="1"/>
    <xf numFmtId="181" fontId="0" fillId="0" borderId="0" xfId="0" applyNumberFormat="1" applyFill="1" applyBorder="1" applyProtection="1"/>
    <xf numFmtId="181" fontId="0" fillId="0" borderId="0" xfId="2" applyNumberFormat="1" applyFont="1" applyFill="1" applyProtection="1"/>
    <xf numFmtId="178" fontId="0" fillId="0" borderId="0" xfId="0" applyNumberFormat="1" applyFill="1" applyBorder="1" applyProtection="1"/>
    <xf numFmtId="10" fontId="0" fillId="0" borderId="0" xfId="2" applyNumberFormat="1" applyFont="1" applyFill="1" applyBorder="1" applyProtection="1"/>
    <xf numFmtId="0" fontId="5" fillId="0" borderId="0" xfId="0" applyFont="1" applyFill="1" applyBorder="1" applyProtection="1"/>
    <xf numFmtId="181" fontId="5" fillId="0" borderId="0" xfId="0" applyNumberFormat="1" applyFont="1" applyFill="1" applyBorder="1" applyProtection="1"/>
    <xf numFmtId="0" fontId="5" fillId="0" borderId="0" xfId="0" applyFont="1" applyFill="1" applyProtection="1"/>
    <xf numFmtId="189" fontId="2" fillId="0" borderId="0" xfId="0" applyNumberFormat="1" applyFont="1" applyFill="1" applyBorder="1" applyProtection="1"/>
    <xf numFmtId="0" fontId="2" fillId="0" borderId="0" xfId="0" applyFont="1" applyFill="1" applyBorder="1" applyProtection="1"/>
    <xf numFmtId="0" fontId="19" fillId="0" borderId="0" xfId="0" applyFont="1" applyFill="1" applyBorder="1" applyProtection="1"/>
    <xf numFmtId="167" fontId="21" fillId="0" borderId="0" xfId="0" applyNumberFormat="1" applyFont="1" applyFill="1" applyBorder="1" applyProtection="1"/>
    <xf numFmtId="165" fontId="0" fillId="0" borderId="0" xfId="0" applyNumberFormat="1" applyFill="1" applyBorder="1" applyProtection="1"/>
    <xf numFmtId="167" fontId="0" fillId="0" borderId="0" xfId="0" applyNumberFormat="1" applyFill="1" applyBorder="1" applyProtection="1"/>
    <xf numFmtId="171" fontId="0" fillId="0" borderId="0" xfId="2" applyNumberFormat="1" applyFont="1" applyFill="1" applyBorder="1" applyProtection="1"/>
    <xf numFmtId="167" fontId="0" fillId="0" borderId="36" xfId="0" applyNumberFormat="1" applyFill="1" applyBorder="1" applyProtection="1"/>
    <xf numFmtId="0" fontId="0" fillId="0" borderId="36" xfId="0" applyFill="1" applyBorder="1" applyProtection="1"/>
    <xf numFmtId="170" fontId="0" fillId="0" borderId="0" xfId="0" applyNumberFormat="1" applyFill="1" applyBorder="1" applyProtection="1"/>
    <xf numFmtId="0" fontId="3" fillId="0" borderId="0" xfId="0" applyFont="1" applyFill="1" applyBorder="1" applyProtection="1"/>
    <xf numFmtId="0" fontId="0" fillId="0" borderId="37" xfId="0" applyFill="1" applyBorder="1" applyProtection="1"/>
    <xf numFmtId="165" fontId="0" fillId="0" borderId="0" xfId="2" applyNumberFormat="1" applyFont="1" applyFill="1" applyBorder="1" applyProtection="1"/>
    <xf numFmtId="165" fontId="0" fillId="0" borderId="0" xfId="0" applyNumberFormat="1" applyFill="1" applyBorder="1" applyAlignment="1" applyProtection="1">
      <alignment vertical="top"/>
    </xf>
    <xf numFmtId="0" fontId="5" fillId="0" borderId="36" xfId="0" applyFont="1" applyFill="1" applyBorder="1" applyProtection="1"/>
    <xf numFmtId="0" fontId="0" fillId="0" borderId="0" xfId="0" applyFill="1" applyBorder="1" applyAlignment="1" applyProtection="1">
      <alignment vertical="top" wrapText="1"/>
    </xf>
    <xf numFmtId="0" fontId="0" fillId="0" borderId="0" xfId="0" quotePrefix="1" applyFill="1" applyBorder="1" applyProtection="1"/>
    <xf numFmtId="181" fontId="0" fillId="0" borderId="0" xfId="2" applyNumberFormat="1" applyFont="1" applyFill="1" applyBorder="1" applyProtection="1"/>
    <xf numFmtId="0" fontId="24" fillId="0" borderId="0" xfId="0" applyFont="1" applyFill="1" applyBorder="1" applyProtection="1"/>
    <xf numFmtId="0" fontId="3" fillId="0" borderId="0" xfId="0" applyFont="1" applyFill="1" applyBorder="1" applyAlignment="1" applyProtection="1">
      <alignment wrapText="1"/>
    </xf>
    <xf numFmtId="165" fontId="3" fillId="0" borderId="0" xfId="0" applyNumberFormat="1" applyFont="1" applyFill="1" applyBorder="1" applyProtection="1"/>
    <xf numFmtId="195" fontId="0" fillId="0" borderId="0" xfId="0" applyNumberFormat="1" applyFill="1" applyBorder="1" applyAlignment="1" applyProtection="1">
      <alignment horizontal="left" wrapText="1"/>
    </xf>
    <xf numFmtId="0" fontId="0" fillId="0" borderId="0" xfId="0" applyFill="1" applyBorder="1" applyAlignment="1" applyProtection="1">
      <alignment horizontal="center"/>
    </xf>
    <xf numFmtId="165" fontId="21" fillId="0" borderId="0" xfId="0" applyNumberFormat="1" applyFont="1" applyFill="1" applyBorder="1" applyProtection="1"/>
    <xf numFmtId="0" fontId="16" fillId="0" borderId="0" xfId="0" applyFont="1" applyFill="1" applyBorder="1" applyProtection="1"/>
    <xf numFmtId="167" fontId="0" fillId="0" borderId="0" xfId="0" applyNumberFormat="1" applyFill="1" applyProtection="1"/>
    <xf numFmtId="0" fontId="17" fillId="0" borderId="0" xfId="0" applyFont="1" applyFill="1" applyBorder="1" applyProtection="1"/>
    <xf numFmtId="169" fontId="1" fillId="0" borderId="0" xfId="0" applyNumberFormat="1" applyFont="1" applyFill="1" applyProtection="1"/>
    <xf numFmtId="0" fontId="19" fillId="0" borderId="0" xfId="0" applyFont="1" applyFill="1" applyBorder="1" applyAlignment="1" applyProtection="1"/>
    <xf numFmtId="0" fontId="11" fillId="4" borderId="29" xfId="0" applyFont="1" applyFill="1" applyBorder="1" applyAlignment="1" applyProtection="1"/>
    <xf numFmtId="0" fontId="19" fillId="4" borderId="38" xfId="0" applyFont="1" applyFill="1" applyBorder="1" applyAlignment="1" applyProtection="1"/>
    <xf numFmtId="0" fontId="19" fillId="4" borderId="38" xfId="0" applyFont="1" applyFill="1" applyBorder="1" applyAlignment="1" applyProtection="1">
      <alignment vertical="top"/>
    </xf>
    <xf numFmtId="0" fontId="19" fillId="4" borderId="39" xfId="0" applyFont="1" applyFill="1" applyBorder="1" applyAlignment="1" applyProtection="1">
      <alignment vertical="top"/>
    </xf>
    <xf numFmtId="167" fontId="0" fillId="0" borderId="0" xfId="0" applyNumberFormat="1" applyFill="1" applyAlignment="1" applyProtection="1"/>
    <xf numFmtId="169" fontId="0" fillId="6" borderId="0" xfId="0" applyNumberFormat="1" applyFill="1" applyBorder="1" applyProtection="1"/>
    <xf numFmtId="0" fontId="0" fillId="0" borderId="40" xfId="0" applyFill="1" applyBorder="1" applyProtection="1"/>
    <xf numFmtId="10" fontId="0" fillId="0" borderId="0" xfId="0" applyNumberFormat="1" applyFill="1" applyBorder="1" applyAlignment="1" applyProtection="1">
      <alignment vertical="top" wrapText="1"/>
    </xf>
    <xf numFmtId="0" fontId="0" fillId="0" borderId="40" xfId="0" applyFill="1" applyBorder="1" applyAlignment="1" applyProtection="1">
      <alignment vertical="top" wrapText="1"/>
    </xf>
    <xf numFmtId="0" fontId="0" fillId="6" borderId="0" xfId="0" applyNumberFormat="1" applyFill="1" applyBorder="1" applyProtection="1"/>
    <xf numFmtId="0" fontId="0" fillId="7" borderId="0" xfId="0" applyFill="1" applyBorder="1" applyProtection="1"/>
    <xf numFmtId="168" fontId="1" fillId="8" borderId="0" xfId="0" applyNumberFormat="1" applyFont="1" applyFill="1" applyBorder="1" applyProtection="1"/>
    <xf numFmtId="0" fontId="10" fillId="0" borderId="32" xfId="0" applyFont="1" applyFill="1" applyBorder="1" applyAlignment="1" applyProtection="1">
      <alignment horizontal="left"/>
    </xf>
    <xf numFmtId="0" fontId="0" fillId="0" borderId="0" xfId="0" applyFill="1" applyBorder="1" applyAlignment="1" applyProtection="1">
      <alignment wrapText="1"/>
    </xf>
    <xf numFmtId="0" fontId="0" fillId="0" borderId="32" xfId="0" applyFill="1" applyBorder="1" applyAlignment="1" applyProtection="1">
      <alignment horizontal="left" wrapText="1"/>
    </xf>
    <xf numFmtId="0" fontId="3" fillId="0" borderId="32" xfId="0" applyFont="1" applyFill="1" applyBorder="1" applyAlignment="1" applyProtection="1">
      <alignment horizontal="left" wrapText="1"/>
    </xf>
    <xf numFmtId="0" fontId="5" fillId="0" borderId="32" xfId="0" applyFont="1" applyFill="1" applyBorder="1" applyAlignment="1" applyProtection="1">
      <alignment horizontal="left" wrapText="1"/>
    </xf>
    <xf numFmtId="10" fontId="0" fillId="0" borderId="41" xfId="0" applyNumberFormat="1" applyFill="1" applyBorder="1" applyProtection="1"/>
    <xf numFmtId="0" fontId="0" fillId="0" borderId="41" xfId="0" applyFill="1" applyBorder="1" applyProtection="1"/>
    <xf numFmtId="0" fontId="0" fillId="0" borderId="42" xfId="0" applyFill="1" applyBorder="1" applyProtection="1"/>
    <xf numFmtId="0" fontId="0" fillId="0" borderId="0" xfId="0" applyFill="1" applyBorder="1" applyAlignment="1" applyProtection="1">
      <alignment vertical="top"/>
    </xf>
    <xf numFmtId="0" fontId="11" fillId="4" borderId="29" xfId="0" applyFont="1" applyFill="1" applyBorder="1" applyProtection="1"/>
    <xf numFmtId="0" fontId="12" fillId="4" borderId="38" xfId="0" applyFont="1" applyFill="1" applyBorder="1" applyProtection="1"/>
    <xf numFmtId="167" fontId="12" fillId="4" borderId="38" xfId="0" applyNumberFormat="1" applyFont="1" applyFill="1" applyBorder="1" applyProtection="1"/>
    <xf numFmtId="0" fontId="12" fillId="4" borderId="39" xfId="0" applyFont="1" applyFill="1" applyBorder="1" applyProtection="1"/>
    <xf numFmtId="0" fontId="17" fillId="0" borderId="32" xfId="0" applyFont="1" applyFill="1" applyBorder="1" applyProtection="1"/>
    <xf numFmtId="0" fontId="0" fillId="0" borderId="13" xfId="0" applyFill="1" applyBorder="1" applyProtection="1"/>
    <xf numFmtId="0" fontId="0" fillId="0" borderId="14" xfId="0" applyFill="1" applyBorder="1" applyProtection="1"/>
    <xf numFmtId="0" fontId="0" fillId="6" borderId="0" xfId="0" applyFill="1" applyBorder="1" applyAlignment="1" applyProtection="1">
      <alignment vertical="top"/>
    </xf>
    <xf numFmtId="0" fontId="0" fillId="0" borderId="0" xfId="0" applyBorder="1" applyAlignment="1" applyProtection="1">
      <alignment vertical="top"/>
    </xf>
    <xf numFmtId="0" fontId="0" fillId="0" borderId="20" xfId="0" applyFill="1" applyBorder="1" applyProtection="1"/>
    <xf numFmtId="0" fontId="0" fillId="0" borderId="26" xfId="0" applyFill="1" applyBorder="1" applyProtection="1"/>
    <xf numFmtId="0" fontId="0" fillId="6" borderId="0" xfId="0" applyFill="1" applyBorder="1" applyProtection="1"/>
    <xf numFmtId="168" fontId="0" fillId="0" borderId="0" xfId="2" applyNumberFormat="1" applyFont="1" applyFill="1" applyBorder="1" applyProtection="1"/>
    <xf numFmtId="0" fontId="0" fillId="0" borderId="23" xfId="0" applyFill="1" applyBorder="1" applyProtection="1"/>
    <xf numFmtId="0" fontId="0" fillId="0" borderId="43" xfId="0" applyFill="1" applyBorder="1" applyProtection="1"/>
    <xf numFmtId="0" fontId="17" fillId="9" borderId="32" xfId="0" applyFont="1" applyFill="1" applyBorder="1" applyProtection="1"/>
    <xf numFmtId="167" fontId="0" fillId="0" borderId="40" xfId="0" applyNumberFormat="1" applyFill="1" applyBorder="1" applyProtection="1"/>
    <xf numFmtId="0" fontId="0" fillId="10" borderId="0" xfId="0" applyFill="1" applyBorder="1" applyProtection="1"/>
    <xf numFmtId="167" fontId="0" fillId="0" borderId="41" xfId="0" applyNumberFormat="1" applyFill="1" applyBorder="1" applyProtection="1"/>
    <xf numFmtId="0" fontId="19" fillId="0" borderId="0" xfId="0" quotePrefix="1" applyFont="1" applyFill="1" applyBorder="1" applyProtection="1"/>
    <xf numFmtId="0" fontId="11" fillId="4" borderId="38" xfId="0" applyFont="1" applyFill="1" applyBorder="1" applyProtection="1"/>
    <xf numFmtId="167" fontId="11" fillId="4" borderId="38" xfId="0" applyNumberFormat="1" applyFont="1" applyFill="1" applyBorder="1" applyProtection="1"/>
    <xf numFmtId="0" fontId="11" fillId="4" borderId="39" xfId="0" applyFont="1" applyFill="1" applyBorder="1" applyProtection="1"/>
    <xf numFmtId="181" fontId="0" fillId="0" borderId="40" xfId="2" applyNumberFormat="1" applyFont="1" applyFill="1" applyBorder="1" applyProtection="1"/>
    <xf numFmtId="196" fontId="0" fillId="0" borderId="32" xfId="0" applyNumberFormat="1" applyFill="1" applyBorder="1" applyAlignment="1" applyProtection="1">
      <alignment horizontal="left"/>
    </xf>
    <xf numFmtId="2" fontId="0" fillId="0" borderId="0" xfId="0" applyNumberFormat="1" applyFill="1" applyBorder="1" applyProtection="1"/>
    <xf numFmtId="2" fontId="0" fillId="0" borderId="40" xfId="0" applyNumberFormat="1" applyFill="1" applyBorder="1" applyProtection="1"/>
    <xf numFmtId="2" fontId="0" fillId="0" borderId="0" xfId="0" applyNumberFormat="1" applyFill="1" applyProtection="1"/>
    <xf numFmtId="177" fontId="0" fillId="0" borderId="0" xfId="2" applyNumberFormat="1" applyFont="1" applyFill="1" applyBorder="1" applyProtection="1"/>
    <xf numFmtId="177" fontId="0" fillId="0" borderId="40" xfId="2" applyNumberFormat="1" applyFont="1" applyFill="1" applyBorder="1" applyProtection="1"/>
    <xf numFmtId="177" fontId="0" fillId="0" borderId="0" xfId="2" applyNumberFormat="1" applyFont="1" applyFill="1" applyProtection="1"/>
    <xf numFmtId="175" fontId="0" fillId="0" borderId="32" xfId="0" applyNumberFormat="1" applyFill="1" applyBorder="1" applyAlignment="1" applyProtection="1">
      <alignment horizontal="left"/>
    </xf>
    <xf numFmtId="173" fontId="0" fillId="0" borderId="0" xfId="0" applyNumberFormat="1" applyFill="1" applyBorder="1" applyProtection="1"/>
    <xf numFmtId="173" fontId="0" fillId="0" borderId="40" xfId="0" applyNumberFormat="1" applyFill="1" applyBorder="1" applyProtection="1"/>
    <xf numFmtId="176" fontId="0" fillId="0" borderId="0" xfId="2" applyNumberFormat="1" applyFont="1" applyFill="1" applyBorder="1" applyProtection="1"/>
    <xf numFmtId="176" fontId="0" fillId="0" borderId="40" xfId="2" applyNumberFormat="1" applyFont="1" applyFill="1" applyBorder="1" applyProtection="1"/>
    <xf numFmtId="176" fontId="0" fillId="0" borderId="0" xfId="2" applyNumberFormat="1" applyFont="1" applyFill="1" applyProtection="1"/>
    <xf numFmtId="165" fontId="0" fillId="0" borderId="40" xfId="2" applyNumberFormat="1" applyFont="1" applyFill="1" applyBorder="1" applyProtection="1"/>
    <xf numFmtId="165" fontId="0" fillId="0" borderId="0" xfId="2" applyNumberFormat="1" applyFont="1" applyFill="1" applyProtection="1"/>
    <xf numFmtId="0" fontId="19" fillId="4" borderId="44" xfId="0" applyFont="1" applyFill="1" applyBorder="1" applyAlignment="1" applyProtection="1">
      <alignment horizontal="right"/>
    </xf>
    <xf numFmtId="0" fontId="0" fillId="0" borderId="37" xfId="0" applyFill="1" applyBorder="1" applyAlignment="1" applyProtection="1">
      <alignment horizontal="right"/>
    </xf>
    <xf numFmtId="173" fontId="0" fillId="0" borderId="37" xfId="0" applyNumberFormat="1" applyFill="1" applyBorder="1" applyProtection="1"/>
    <xf numFmtId="0" fontId="0" fillId="0" borderId="44" xfId="0" applyFill="1" applyBorder="1" applyAlignment="1" applyProtection="1">
      <alignment horizontal="right"/>
    </xf>
    <xf numFmtId="172" fontId="0" fillId="0" borderId="0" xfId="0" applyNumberFormat="1" applyFill="1" applyBorder="1" applyProtection="1"/>
    <xf numFmtId="0" fontId="0" fillId="0" borderId="11" xfId="0" applyFill="1" applyBorder="1" applyProtection="1"/>
    <xf numFmtId="10" fontId="0" fillId="0" borderId="0" xfId="0" applyNumberFormat="1" applyFill="1" applyBorder="1" applyProtection="1"/>
    <xf numFmtId="0" fontId="0" fillId="0" borderId="16" xfId="0" applyFill="1" applyBorder="1" applyProtection="1"/>
    <xf numFmtId="174" fontId="0" fillId="0" borderId="0" xfId="0" applyNumberFormat="1" applyFill="1" applyBorder="1" applyProtection="1"/>
    <xf numFmtId="0" fontId="0" fillId="0" borderId="17" xfId="0" applyFill="1" applyBorder="1" applyProtection="1"/>
    <xf numFmtId="0" fontId="0" fillId="0" borderId="26" xfId="0" applyFill="1" applyBorder="1" applyAlignment="1" applyProtection="1">
      <alignment horizontal="right"/>
    </xf>
    <xf numFmtId="10" fontId="0" fillId="0" borderId="26" xfId="2" applyNumberFormat="1" applyFont="1" applyFill="1" applyBorder="1" applyProtection="1"/>
    <xf numFmtId="0" fontId="0" fillId="0" borderId="38" xfId="0" applyFill="1" applyBorder="1" applyProtection="1"/>
    <xf numFmtId="0" fontId="0" fillId="0" borderId="39" xfId="0" applyFill="1" applyBorder="1" applyProtection="1"/>
    <xf numFmtId="173" fontId="0" fillId="0" borderId="41" xfId="0" applyNumberFormat="1" applyFill="1" applyBorder="1" applyProtection="1"/>
    <xf numFmtId="10" fontId="0" fillId="0" borderId="45" xfId="2" applyNumberFormat="1" applyFont="1" applyFill="1" applyBorder="1" applyProtection="1"/>
    <xf numFmtId="0" fontId="19" fillId="0" borderId="0" xfId="0" applyFont="1" applyProtection="1"/>
    <xf numFmtId="0" fontId="12" fillId="4" borderId="0" xfId="0" applyFont="1" applyFill="1" applyProtection="1"/>
    <xf numFmtId="165" fontId="12" fillId="4" borderId="0" xfId="0" applyNumberFormat="1" applyFont="1" applyFill="1" applyProtection="1"/>
    <xf numFmtId="168" fontId="5" fillId="0" borderId="0" xfId="2" applyNumberFormat="1" applyFont="1" applyFill="1" applyProtection="1"/>
    <xf numFmtId="165" fontId="5" fillId="0" borderId="0" xfId="0" applyNumberFormat="1" applyFont="1" applyFill="1" applyProtection="1"/>
    <xf numFmtId="0" fontId="0" fillId="0" borderId="0" xfId="0" applyFill="1" applyAlignment="1" applyProtection="1">
      <alignment wrapText="1"/>
    </xf>
    <xf numFmtId="0" fontId="2" fillId="0" borderId="0" xfId="0" applyFont="1" applyFill="1" applyBorder="1" applyAlignment="1" applyProtection="1">
      <alignment horizontal="right"/>
    </xf>
    <xf numFmtId="0" fontId="0" fillId="0" borderId="29" xfId="0" applyNumberFormat="1" applyFill="1" applyBorder="1" applyProtection="1"/>
    <xf numFmtId="165" fontId="0" fillId="0" borderId="38" xfId="0" applyNumberFormat="1" applyFill="1" applyBorder="1" applyProtection="1"/>
    <xf numFmtId="169" fontId="0" fillId="0" borderId="38" xfId="0" applyNumberFormat="1" applyFill="1" applyBorder="1" applyProtection="1"/>
    <xf numFmtId="9" fontId="0" fillId="0" borderId="38" xfId="0" applyNumberFormat="1" applyFill="1" applyBorder="1" applyProtection="1"/>
    <xf numFmtId="10" fontId="0" fillId="0" borderId="38" xfId="2" applyNumberFormat="1" applyFont="1" applyFill="1" applyBorder="1" applyProtection="1"/>
    <xf numFmtId="0" fontId="0" fillId="8" borderId="0" xfId="0" applyFill="1" applyProtection="1"/>
    <xf numFmtId="180" fontId="0" fillId="0" borderId="32" xfId="0" applyNumberFormat="1" applyFill="1" applyBorder="1" applyProtection="1"/>
    <xf numFmtId="165" fontId="0" fillId="0" borderId="29" xfId="0" applyNumberFormat="1" applyFill="1" applyBorder="1" applyProtection="1"/>
    <xf numFmtId="169" fontId="0" fillId="0" borderId="38" xfId="2" applyNumberFormat="1" applyFont="1" applyFill="1" applyBorder="1" applyProtection="1"/>
    <xf numFmtId="165" fontId="7" fillId="0" borderId="0" xfId="0" applyNumberFormat="1" applyFont="1" applyFill="1" applyProtection="1"/>
    <xf numFmtId="165" fontId="0" fillId="0" borderId="32" xfId="0" applyNumberFormat="1" applyFill="1" applyBorder="1" applyProtection="1"/>
    <xf numFmtId="169" fontId="0" fillId="0" borderId="0" xfId="2" applyNumberFormat="1" applyFont="1" applyFill="1" applyBorder="1" applyProtection="1"/>
    <xf numFmtId="180" fontId="0" fillId="0" borderId="33" xfId="0" applyNumberFormat="1" applyFill="1" applyBorder="1" applyProtection="1"/>
    <xf numFmtId="165" fontId="0" fillId="0" borderId="33" xfId="0" applyNumberFormat="1" applyFill="1" applyBorder="1" applyProtection="1"/>
    <xf numFmtId="165" fontId="0" fillId="0" borderId="41" xfId="0" applyNumberFormat="1" applyFill="1" applyBorder="1" applyProtection="1"/>
    <xf numFmtId="169" fontId="0" fillId="0" borderId="41" xfId="0" applyNumberFormat="1" applyFill="1" applyBorder="1" applyProtection="1"/>
    <xf numFmtId="169" fontId="0" fillId="0" borderId="41" xfId="2" applyNumberFormat="1" applyFont="1" applyFill="1" applyBorder="1" applyProtection="1"/>
    <xf numFmtId="10" fontId="0" fillId="0" borderId="41" xfId="2" applyNumberFormat="1" applyFont="1" applyFill="1" applyBorder="1" applyProtection="1"/>
    <xf numFmtId="180" fontId="0" fillId="0" borderId="0" xfId="0" applyNumberFormat="1" applyFill="1" applyBorder="1" applyProtection="1"/>
    <xf numFmtId="170" fontId="0" fillId="0" borderId="38" xfId="0" applyNumberFormat="1" applyFill="1" applyBorder="1" applyProtection="1"/>
    <xf numFmtId="0" fontId="1" fillId="0" borderId="32" xfId="0" applyFont="1" applyFill="1" applyBorder="1" applyProtection="1"/>
    <xf numFmtId="0" fontId="9" fillId="0" borderId="32" xfId="0" applyFont="1" applyFill="1" applyBorder="1" applyProtection="1"/>
    <xf numFmtId="0" fontId="0" fillId="0" borderId="46" xfId="0" applyFill="1" applyBorder="1" applyProtection="1"/>
    <xf numFmtId="194" fontId="0" fillId="0" borderId="0" xfId="2" applyNumberFormat="1" applyFont="1" applyFill="1" applyBorder="1" applyProtection="1"/>
    <xf numFmtId="181" fontId="0" fillId="0" borderId="40" xfId="0" applyNumberFormat="1" applyFill="1" applyBorder="1" applyProtection="1"/>
    <xf numFmtId="181" fontId="0" fillId="0" borderId="0" xfId="0" applyNumberFormat="1" applyFill="1" applyProtection="1"/>
    <xf numFmtId="185" fontId="0" fillId="0" borderId="0" xfId="0" applyNumberFormat="1" applyFill="1" applyProtection="1"/>
    <xf numFmtId="10" fontId="0" fillId="0" borderId="40" xfId="2" applyNumberFormat="1" applyFont="1" applyFill="1" applyBorder="1" applyProtection="1"/>
    <xf numFmtId="10" fontId="0" fillId="0" borderId="0" xfId="2" applyNumberFormat="1" applyFont="1" applyFill="1" applyProtection="1"/>
    <xf numFmtId="165" fontId="0" fillId="0" borderId="41" xfId="2" applyNumberFormat="1" applyFont="1" applyFill="1" applyBorder="1" applyProtection="1"/>
    <xf numFmtId="0" fontId="8" fillId="0" borderId="32" xfId="0" applyFont="1" applyFill="1" applyBorder="1" applyProtection="1"/>
    <xf numFmtId="0" fontId="9" fillId="0" borderId="33" xfId="0" applyFont="1" applyFill="1" applyBorder="1" applyProtection="1"/>
    <xf numFmtId="0" fontId="19" fillId="4" borderId="29" xfId="0" applyFont="1" applyFill="1" applyBorder="1" applyProtection="1"/>
    <xf numFmtId="0" fontId="19" fillId="4" borderId="38" xfId="0" applyFont="1" applyFill="1" applyBorder="1" applyProtection="1"/>
    <xf numFmtId="0" fontId="19" fillId="0" borderId="0" xfId="0" applyFont="1" applyFill="1" applyBorder="1" applyAlignment="1" applyProtection="1">
      <alignment wrapText="1"/>
    </xf>
    <xf numFmtId="0" fontId="0" fillId="0" borderId="32" xfId="0" applyFill="1" applyBorder="1" applyAlignment="1" applyProtection="1">
      <alignment wrapText="1"/>
    </xf>
    <xf numFmtId="165" fontId="0" fillId="0" borderId="0" xfId="0" applyNumberFormat="1" applyFill="1" applyBorder="1" applyAlignment="1" applyProtection="1">
      <alignment wrapText="1"/>
    </xf>
    <xf numFmtId="0" fontId="0" fillId="0" borderId="29" xfId="0" applyFill="1" applyBorder="1" applyAlignment="1" applyProtection="1">
      <alignment wrapText="1"/>
    </xf>
    <xf numFmtId="0" fontId="0" fillId="0" borderId="39" xfId="0" applyFill="1" applyBorder="1" applyAlignment="1" applyProtection="1">
      <alignment wrapText="1"/>
    </xf>
    <xf numFmtId="0" fontId="0" fillId="0" borderId="38" xfId="0" applyFill="1" applyBorder="1" applyAlignment="1" applyProtection="1">
      <alignment wrapText="1"/>
    </xf>
    <xf numFmtId="0" fontId="13" fillId="0" borderId="0" xfId="1" applyAlignment="1" applyProtection="1"/>
    <xf numFmtId="0" fontId="23" fillId="0" borderId="0" xfId="0" applyFont="1" applyAlignment="1" applyProtection="1">
      <alignment horizontal="center"/>
    </xf>
    <xf numFmtId="0" fontId="2" fillId="0" borderId="0" xfId="0" applyFont="1" applyFill="1" applyBorder="1" applyAlignment="1" applyProtection="1">
      <alignment horizontal="center" vertical="top"/>
    </xf>
    <xf numFmtId="9" fontId="13" fillId="0" borderId="47" xfId="1" applyNumberFormat="1" applyFill="1" applyBorder="1" applyAlignment="1" applyProtection="1">
      <alignment vertical="top"/>
    </xf>
    <xf numFmtId="9" fontId="0" fillId="0" borderId="18" xfId="2" applyFont="1" applyFill="1" applyBorder="1" applyAlignment="1" applyProtection="1">
      <alignment horizontal="center" wrapText="1"/>
    </xf>
    <xf numFmtId="168" fontId="0" fillId="0" borderId="19" xfId="2" applyNumberFormat="1" applyFont="1" applyFill="1" applyBorder="1" applyAlignment="1" applyProtection="1">
      <alignment horizontal="center" wrapText="1"/>
    </xf>
    <xf numFmtId="0" fontId="0" fillId="0" borderId="0" xfId="0" applyAlignment="1" applyProtection="1"/>
    <xf numFmtId="0" fontId="0" fillId="2" borderId="0" xfId="0" applyFill="1" applyBorder="1" applyAlignment="1" applyProtection="1"/>
    <xf numFmtId="0" fontId="0" fillId="2" borderId="26" xfId="0" applyFill="1" applyBorder="1" applyAlignment="1" applyProtection="1"/>
    <xf numFmtId="0" fontId="13" fillId="0" borderId="48" xfId="1" applyFill="1" applyBorder="1" applyAlignment="1" applyProtection="1">
      <alignment vertical="top"/>
    </xf>
    <xf numFmtId="168" fontId="0" fillId="0" borderId="21" xfId="2" applyNumberFormat="1" applyFont="1" applyFill="1" applyBorder="1" applyProtection="1"/>
    <xf numFmtId="168" fontId="0" fillId="0" borderId="22" xfId="2" applyNumberFormat="1" applyFont="1" applyFill="1" applyBorder="1" applyProtection="1"/>
    <xf numFmtId="0" fontId="0" fillId="2" borderId="0" xfId="0" applyFill="1" applyBorder="1" applyProtection="1"/>
    <xf numFmtId="0" fontId="0" fillId="2" borderId="26" xfId="0" applyFill="1" applyBorder="1" applyProtection="1"/>
    <xf numFmtId="0" fontId="27" fillId="2" borderId="20" xfId="0" applyNumberFormat="1" applyFont="1" applyFill="1" applyBorder="1" applyProtection="1"/>
    <xf numFmtId="0" fontId="27" fillId="2" borderId="0" xfId="0" applyNumberFormat="1" applyFont="1" applyFill="1" applyBorder="1" applyProtection="1"/>
    <xf numFmtId="0" fontId="27" fillId="2" borderId="26" xfId="0" applyNumberFormat="1" applyFont="1" applyFill="1" applyBorder="1" applyProtection="1"/>
    <xf numFmtId="0" fontId="13" fillId="0" borderId="49" xfId="1" applyFill="1" applyBorder="1" applyAlignment="1" applyProtection="1"/>
    <xf numFmtId="168" fontId="0" fillId="0" borderId="50" xfId="2" applyNumberFormat="1" applyFont="1" applyFill="1" applyBorder="1" applyProtection="1"/>
    <xf numFmtId="168" fontId="0" fillId="0" borderId="51" xfId="2" applyNumberFormat="1" applyFont="1" applyFill="1" applyBorder="1" applyProtection="1"/>
    <xf numFmtId="168" fontId="0" fillId="0" borderId="24" xfId="2" applyNumberFormat="1" applyFont="1" applyFill="1" applyBorder="1" applyProtection="1"/>
    <xf numFmtId="168" fontId="0" fillId="0" borderId="25" xfId="2" applyNumberFormat="1" applyFont="1" applyFill="1" applyBorder="1" applyProtection="1"/>
    <xf numFmtId="168" fontId="0" fillId="0" borderId="52" xfId="2" applyNumberFormat="1" applyFont="1" applyFill="1" applyBorder="1" applyAlignment="1" applyProtection="1">
      <alignment horizontal="center" wrapText="1"/>
    </xf>
    <xf numFmtId="168" fontId="0" fillId="0" borderId="53" xfId="2" applyNumberFormat="1" applyFont="1" applyFill="1" applyBorder="1" applyAlignment="1" applyProtection="1">
      <alignment horizontal="center" wrapText="1"/>
    </xf>
    <xf numFmtId="0" fontId="0" fillId="0" borderId="21" xfId="0" applyFill="1" applyBorder="1" applyProtection="1"/>
    <xf numFmtId="10" fontId="0" fillId="0" borderId="22" xfId="2" applyNumberFormat="1" applyFont="1" applyFill="1" applyBorder="1" applyProtection="1"/>
    <xf numFmtId="0" fontId="27" fillId="2" borderId="0" xfId="0" applyNumberFormat="1" applyFont="1" applyFill="1" applyProtection="1"/>
    <xf numFmtId="0" fontId="0" fillId="0" borderId="24" xfId="0" applyFill="1" applyBorder="1" applyProtection="1"/>
    <xf numFmtId="10" fontId="0" fillId="0" borderId="25" xfId="2" applyNumberFormat="1" applyFont="1" applyFill="1" applyBorder="1" applyProtection="1"/>
    <xf numFmtId="0" fontId="0" fillId="0" borderId="20" xfId="0" applyBorder="1" applyAlignment="1" applyProtection="1"/>
    <xf numFmtId="0" fontId="0" fillId="0" borderId="26" xfId="0" applyFill="1" applyBorder="1" applyAlignment="1" applyProtection="1"/>
    <xf numFmtId="0" fontId="0" fillId="0" borderId="2" xfId="0" applyFill="1" applyBorder="1" applyAlignment="1" applyProtection="1"/>
    <xf numFmtId="0" fontId="13" fillId="0" borderId="54" xfId="1" applyFill="1" applyBorder="1" applyAlignment="1" applyProtection="1">
      <alignment vertical="top"/>
    </xf>
    <xf numFmtId="0" fontId="0" fillId="0" borderId="55" xfId="0" applyFill="1" applyBorder="1" applyAlignment="1" applyProtection="1"/>
    <xf numFmtId="0" fontId="0" fillId="0" borderId="43" xfId="0" applyFill="1" applyBorder="1" applyAlignment="1" applyProtection="1"/>
    <xf numFmtId="0" fontId="27" fillId="2" borderId="23" xfId="0" applyNumberFormat="1" applyFont="1" applyFill="1" applyBorder="1" applyProtection="1"/>
    <xf numFmtId="0" fontId="27" fillId="2" borderId="36" xfId="0" applyNumberFormat="1" applyFont="1" applyFill="1" applyBorder="1" applyProtection="1"/>
    <xf numFmtId="0" fontId="27" fillId="2" borderId="43" xfId="0" applyNumberFormat="1" applyFont="1" applyFill="1" applyBorder="1" applyProtection="1"/>
    <xf numFmtId="0" fontId="0" fillId="2" borderId="40" xfId="0" applyFill="1" applyBorder="1" applyProtection="1"/>
    <xf numFmtId="0" fontId="27" fillId="2" borderId="32" xfId="0" applyNumberFormat="1" applyFont="1" applyFill="1" applyBorder="1" applyProtection="1"/>
    <xf numFmtId="0" fontId="27" fillId="2" borderId="40" xfId="0" applyNumberFormat="1" applyFont="1" applyFill="1" applyBorder="1" applyProtection="1"/>
    <xf numFmtId="0" fontId="28" fillId="2" borderId="33" xfId="0" applyNumberFormat="1" applyFont="1" applyFill="1" applyBorder="1" applyProtection="1"/>
    <xf numFmtId="0" fontId="27" fillId="2" borderId="41" xfId="0" applyNumberFormat="1" applyFont="1" applyFill="1" applyBorder="1" applyProtection="1"/>
    <xf numFmtId="0" fontId="27" fillId="2" borderId="42" xfId="0" applyNumberFormat="1" applyFont="1" applyFill="1" applyBorder="1" applyProtection="1"/>
    <xf numFmtId="0" fontId="27" fillId="2" borderId="33" xfId="0" applyNumberFormat="1" applyFont="1" applyFill="1" applyBorder="1" applyProtection="1"/>
    <xf numFmtId="9" fontId="13" fillId="0" borderId="0" xfId="1" applyNumberFormat="1" applyFill="1" applyBorder="1" applyAlignment="1" applyProtection="1"/>
    <xf numFmtId="9" fontId="0" fillId="0" borderId="0" xfId="2" applyFont="1" applyFill="1" applyBorder="1" applyProtection="1"/>
    <xf numFmtId="9" fontId="23" fillId="0" borderId="0" xfId="2" applyFont="1" applyFill="1" applyBorder="1" applyAlignment="1" applyProtection="1">
      <alignment horizontal="center"/>
    </xf>
    <xf numFmtId="0" fontId="5" fillId="0" borderId="56" xfId="0" applyFont="1" applyFill="1" applyBorder="1" applyAlignment="1" applyProtection="1">
      <alignment vertical="top"/>
    </xf>
    <xf numFmtId="0" fontId="2" fillId="0" borderId="57" xfId="0" applyFont="1" applyFill="1" applyBorder="1" applyAlignment="1" applyProtection="1">
      <alignment horizontal="center" vertical="top"/>
    </xf>
    <xf numFmtId="0" fontId="2" fillId="0" borderId="58" xfId="0" applyFont="1" applyFill="1" applyBorder="1" applyAlignment="1" applyProtection="1">
      <alignment horizontal="center" vertical="top"/>
    </xf>
    <xf numFmtId="9" fontId="0" fillId="0" borderId="18" xfId="2" applyFont="1" applyFill="1" applyBorder="1" applyAlignment="1" applyProtection="1">
      <alignment horizontal="center"/>
    </xf>
    <xf numFmtId="168" fontId="0" fillId="0" borderId="19" xfId="2" applyNumberFormat="1" applyFont="1" applyFill="1" applyBorder="1" applyAlignment="1" applyProtection="1">
      <alignment horizontal="center"/>
    </xf>
    <xf numFmtId="0" fontId="0" fillId="0" borderId="0" xfId="0" applyAlignment="1" applyProtection="1">
      <alignment wrapText="1"/>
    </xf>
    <xf numFmtId="188" fontId="0" fillId="0" borderId="0" xfId="2" applyNumberFormat="1" applyFont="1" applyFill="1" applyBorder="1" applyAlignment="1" applyProtection="1">
      <alignment wrapText="1"/>
    </xf>
    <xf numFmtId="0" fontId="0" fillId="2" borderId="32" xfId="0" applyFill="1" applyBorder="1" applyProtection="1"/>
    <xf numFmtId="0" fontId="0" fillId="2" borderId="0" xfId="0" applyFill="1" applyBorder="1" applyAlignment="1" applyProtection="1">
      <alignment vertical="center"/>
    </xf>
    <xf numFmtId="0" fontId="0" fillId="2" borderId="0" xfId="0" applyFill="1" applyBorder="1" applyAlignment="1" applyProtection="1">
      <alignment wrapText="1"/>
    </xf>
    <xf numFmtId="0" fontId="0" fillId="2" borderId="40" xfId="0" applyFill="1" applyBorder="1" applyAlignment="1" applyProtection="1">
      <alignment wrapText="1"/>
    </xf>
    <xf numFmtId="9" fontId="0" fillId="0" borderId="0" xfId="2" applyFont="1" applyAlignment="1" applyProtection="1">
      <alignment wrapText="1"/>
    </xf>
    <xf numFmtId="168" fontId="0" fillId="0" borderId="21" xfId="2" applyNumberFormat="1" applyFont="1" applyFill="1" applyBorder="1" applyAlignment="1" applyProtection="1"/>
    <xf numFmtId="168" fontId="0" fillId="0" borderId="22" xfId="2" applyNumberFormat="1" applyFont="1" applyFill="1" applyBorder="1" applyAlignment="1" applyProtection="1"/>
    <xf numFmtId="188" fontId="0" fillId="0" borderId="0" xfId="0" applyNumberFormat="1" applyProtection="1"/>
    <xf numFmtId="188" fontId="1" fillId="2" borderId="32" xfId="0" applyNumberFormat="1" applyFont="1" applyFill="1" applyBorder="1" applyAlignment="1" applyProtection="1">
      <alignment vertical="top"/>
    </xf>
    <xf numFmtId="188" fontId="1" fillId="2" borderId="0" xfId="0" applyNumberFormat="1" applyFont="1" applyFill="1" applyBorder="1" applyAlignment="1" applyProtection="1">
      <alignment vertical="top"/>
    </xf>
    <xf numFmtId="188" fontId="1" fillId="2" borderId="40" xfId="0" applyNumberFormat="1" applyFont="1" applyFill="1" applyBorder="1" applyAlignment="1" applyProtection="1">
      <alignment vertical="top"/>
    </xf>
    <xf numFmtId="168" fontId="0" fillId="0" borderId="50" xfId="2" applyNumberFormat="1" applyFont="1" applyFill="1" applyBorder="1" applyAlignment="1" applyProtection="1"/>
    <xf numFmtId="168" fontId="0" fillId="0" borderId="51" xfId="2" applyNumberFormat="1" applyFont="1" applyFill="1" applyBorder="1" applyAlignment="1" applyProtection="1"/>
    <xf numFmtId="168" fontId="0" fillId="0" borderId="24" xfId="2" applyNumberFormat="1" applyFont="1" applyFill="1" applyBorder="1" applyAlignment="1" applyProtection="1"/>
    <xf numFmtId="168" fontId="0" fillId="0" borderId="25" xfId="2" applyNumberFormat="1" applyFont="1" applyFill="1" applyBorder="1" applyAlignment="1" applyProtection="1"/>
    <xf numFmtId="188" fontId="1" fillId="2" borderId="32" xfId="0" applyNumberFormat="1" applyFont="1" applyFill="1" applyBorder="1" applyProtection="1"/>
    <xf numFmtId="188" fontId="1" fillId="2" borderId="0" xfId="0" applyNumberFormat="1" applyFont="1" applyFill="1" applyBorder="1" applyProtection="1"/>
    <xf numFmtId="188" fontId="1" fillId="2" borderId="40" xfId="0" applyNumberFormat="1" applyFont="1" applyFill="1" applyBorder="1" applyProtection="1"/>
    <xf numFmtId="188" fontId="1" fillId="2" borderId="32" xfId="0" applyNumberFormat="1" applyFont="1" applyFill="1" applyBorder="1" applyAlignment="1" applyProtection="1"/>
    <xf numFmtId="188" fontId="1" fillId="2" borderId="0" xfId="0" applyNumberFormat="1" applyFont="1" applyFill="1" applyBorder="1" applyAlignment="1" applyProtection="1"/>
    <xf numFmtId="164" fontId="0" fillId="0" borderId="21" xfId="0" applyNumberFormat="1" applyFill="1" applyBorder="1" applyAlignment="1" applyProtection="1"/>
    <xf numFmtId="10" fontId="0" fillId="0" borderId="22" xfId="2" applyNumberFormat="1" applyFont="1" applyFill="1" applyBorder="1" applyAlignment="1" applyProtection="1"/>
    <xf numFmtId="188" fontId="1" fillId="2" borderId="46" xfId="0" applyNumberFormat="1" applyFont="1" applyFill="1" applyBorder="1" applyAlignment="1" applyProtection="1">
      <alignment horizontal="center"/>
    </xf>
    <xf numFmtId="188" fontId="1" fillId="2" borderId="0" xfId="0" quotePrefix="1" applyNumberFormat="1" applyFont="1" applyFill="1" applyBorder="1" applyAlignment="1" applyProtection="1"/>
    <xf numFmtId="188" fontId="1" fillId="2" borderId="0" xfId="2" applyNumberFormat="1" applyFont="1" applyFill="1" applyBorder="1" applyAlignment="1" applyProtection="1"/>
    <xf numFmtId="164" fontId="0" fillId="0" borderId="24" xfId="0" applyNumberFormat="1" applyFill="1" applyBorder="1" applyAlignment="1" applyProtection="1"/>
    <xf numFmtId="10" fontId="0" fillId="0" borderId="25" xfId="2" applyNumberFormat="1" applyFont="1" applyFill="1" applyBorder="1" applyAlignment="1" applyProtection="1"/>
    <xf numFmtId="188" fontId="1" fillId="2" borderId="0" xfId="0" applyNumberFormat="1" applyFont="1" applyFill="1" applyBorder="1" applyAlignment="1" applyProtection="1">
      <alignment horizontal="center"/>
    </xf>
    <xf numFmtId="188" fontId="1" fillId="2" borderId="0" xfId="0" applyNumberFormat="1" applyFont="1" applyFill="1" applyBorder="1" applyAlignment="1" applyProtection="1">
      <alignment horizontal="center" vertical="top"/>
    </xf>
    <xf numFmtId="188" fontId="1" fillId="2" borderId="33" xfId="0" applyNumberFormat="1" applyFont="1" applyFill="1" applyBorder="1" applyAlignment="1" applyProtection="1"/>
    <xf numFmtId="188" fontId="1" fillId="2" borderId="41" xfId="0" applyNumberFormat="1" applyFont="1" applyFill="1" applyBorder="1" applyAlignment="1" applyProtection="1"/>
    <xf numFmtId="188" fontId="1" fillId="2" borderId="41" xfId="0" applyNumberFormat="1" applyFont="1" applyFill="1" applyBorder="1" applyProtection="1"/>
    <xf numFmtId="188" fontId="1" fillId="2" borderId="42" xfId="0" applyNumberFormat="1" applyFont="1" applyFill="1" applyBorder="1" applyProtection="1"/>
    <xf numFmtId="188" fontId="0" fillId="2" borderId="40" xfId="0" applyNumberFormat="1" applyFill="1" applyBorder="1" applyProtection="1"/>
    <xf numFmtId="188" fontId="0" fillId="2" borderId="32" xfId="0" applyNumberFormat="1" applyFill="1" applyBorder="1" applyProtection="1"/>
    <xf numFmtId="188" fontId="0" fillId="2" borderId="0" xfId="0" applyNumberFormat="1" applyFill="1" applyBorder="1" applyProtection="1"/>
    <xf numFmtId="188" fontId="0" fillId="2" borderId="0" xfId="0" applyNumberFormat="1" applyFill="1" applyBorder="1" applyAlignment="1" applyProtection="1">
      <alignment vertical="top" wrapText="1"/>
    </xf>
    <xf numFmtId="188" fontId="0" fillId="2" borderId="0" xfId="2" quotePrefix="1" applyNumberFormat="1" applyFont="1" applyFill="1" applyBorder="1" applyProtection="1"/>
    <xf numFmtId="188" fontId="0" fillId="2" borderId="0" xfId="2" applyNumberFormat="1" applyFont="1" applyFill="1" applyBorder="1" applyProtection="1"/>
    <xf numFmtId="188" fontId="0" fillId="2" borderId="0" xfId="0" quotePrefix="1" applyNumberFormat="1" applyFill="1" applyBorder="1" applyProtection="1"/>
    <xf numFmtId="188" fontId="0" fillId="2" borderId="32" xfId="0" quotePrefix="1" applyNumberFormat="1" applyFill="1" applyBorder="1" applyProtection="1"/>
    <xf numFmtId="188" fontId="0" fillId="2" borderId="33" xfId="0" applyNumberFormat="1" applyFill="1" applyBorder="1" applyProtection="1"/>
    <xf numFmtId="188" fontId="0" fillId="2" borderId="41" xfId="0" applyNumberFormat="1" applyFill="1" applyBorder="1" applyProtection="1"/>
    <xf numFmtId="188" fontId="0" fillId="2" borderId="42" xfId="0" applyNumberFormat="1" applyFill="1" applyBorder="1" applyProtection="1"/>
    <xf numFmtId="188" fontId="0" fillId="2" borderId="32" xfId="0" applyNumberFormat="1" applyFill="1" applyBorder="1" applyAlignment="1" applyProtection="1">
      <alignment vertical="top" wrapText="1"/>
    </xf>
    <xf numFmtId="188" fontId="0" fillId="2" borderId="33" xfId="0" quotePrefix="1" applyNumberFormat="1" applyFill="1" applyBorder="1" applyProtection="1"/>
    <xf numFmtId="0" fontId="0" fillId="2" borderId="0" xfId="0" applyFill="1" applyProtection="1"/>
    <xf numFmtId="188" fontId="0" fillId="2" borderId="0" xfId="0" applyNumberFormat="1" applyFill="1" applyProtection="1"/>
    <xf numFmtId="188" fontId="0" fillId="2" borderId="0" xfId="0" applyNumberFormat="1" applyFill="1" applyAlignment="1" applyProtection="1">
      <alignment vertical="top" wrapText="1"/>
    </xf>
    <xf numFmtId="188" fontId="0" fillId="2" borderId="0" xfId="2" applyNumberFormat="1" applyFont="1" applyFill="1" applyProtection="1"/>
    <xf numFmtId="193" fontId="0" fillId="2" borderId="32" xfId="0" applyNumberFormat="1" applyFill="1" applyBorder="1" applyAlignment="1" applyProtection="1">
      <alignment horizontal="center"/>
    </xf>
    <xf numFmtId="0" fontId="0" fillId="0" borderId="32" xfId="0" applyBorder="1" applyProtection="1"/>
    <xf numFmtId="0" fontId="0" fillId="0" borderId="40" xfId="0" applyBorder="1" applyProtection="1"/>
    <xf numFmtId="0" fontId="0" fillId="0" borderId="33" xfId="0" applyBorder="1" applyProtection="1"/>
    <xf numFmtId="0" fontId="0" fillId="0" borderId="41" xfId="0" applyBorder="1" applyProtection="1"/>
    <xf numFmtId="0" fontId="0" fillId="0" borderId="42" xfId="0" applyBorder="1" applyProtection="1"/>
    <xf numFmtId="0" fontId="0" fillId="0" borderId="0" xfId="0" applyBorder="1" applyAlignment="1" applyProtection="1">
      <alignment wrapText="1"/>
    </xf>
    <xf numFmtId="169" fontId="1" fillId="0" borderId="0" xfId="0" applyNumberFormat="1" applyFont="1" applyFill="1" applyBorder="1" applyAlignment="1" applyProtection="1">
      <alignment vertical="top"/>
    </xf>
    <xf numFmtId="169" fontId="0" fillId="0" borderId="0" xfId="0" applyNumberFormat="1" applyBorder="1" applyAlignment="1" applyProtection="1">
      <alignment vertical="top"/>
    </xf>
    <xf numFmtId="169" fontId="1" fillId="0" borderId="0" xfId="0" applyNumberFormat="1" applyFont="1" applyFill="1" applyBorder="1" applyProtection="1"/>
    <xf numFmtId="169" fontId="0" fillId="0" borderId="0" xfId="0" applyNumberFormat="1" applyBorder="1" applyProtection="1"/>
    <xf numFmtId="0" fontId="1" fillId="0" borderId="0" xfId="0" applyFont="1" applyBorder="1" applyProtection="1"/>
    <xf numFmtId="169" fontId="0" fillId="0" borderId="0" xfId="0" applyNumberFormat="1" applyProtection="1"/>
    <xf numFmtId="0" fontId="1" fillId="0" borderId="0" xfId="0" applyFont="1" applyProtection="1"/>
    <xf numFmtId="9" fontId="0" fillId="0" borderId="19" xfId="2" applyFont="1" applyFill="1" applyBorder="1" applyAlignment="1" applyProtection="1">
      <alignment horizontal="center"/>
    </xf>
    <xf numFmtId="0" fontId="0" fillId="2" borderId="0" xfId="0" applyFill="1" applyBorder="1" applyAlignment="1" applyProtection="1">
      <alignment horizontal="center" vertical="center"/>
    </xf>
    <xf numFmtId="168" fontId="0" fillId="0" borderId="18" xfId="2" applyNumberFormat="1" applyFont="1" applyFill="1" applyBorder="1" applyAlignment="1" applyProtection="1">
      <alignment horizontal="center" wrapText="1"/>
    </xf>
    <xf numFmtId="0" fontId="0" fillId="0" borderId="21" xfId="0" applyFill="1" applyBorder="1" applyAlignment="1" applyProtection="1"/>
    <xf numFmtId="0" fontId="0" fillId="0" borderId="24" xfId="0" applyFill="1" applyBorder="1" applyAlignment="1" applyProtection="1"/>
    <xf numFmtId="188" fontId="1" fillId="2" borderId="33" xfId="0" applyNumberFormat="1" applyFont="1" applyFill="1" applyBorder="1" applyProtection="1"/>
    <xf numFmtId="168" fontId="1" fillId="0" borderId="18" xfId="0" applyNumberFormat="1" applyFont="1" applyFill="1" applyBorder="1" applyProtection="1">
      <protection hidden="1"/>
    </xf>
    <xf numFmtId="168" fontId="1" fillId="0" borderId="19" xfId="0" applyNumberFormat="1" applyFont="1" applyFill="1" applyBorder="1" applyProtection="1">
      <protection hidden="1"/>
    </xf>
    <xf numFmtId="168" fontId="1" fillId="0" borderId="21" xfId="0" applyNumberFormat="1" applyFont="1" applyFill="1" applyBorder="1" applyProtection="1">
      <protection hidden="1"/>
    </xf>
    <xf numFmtId="168" fontId="1" fillId="0" borderId="22" xfId="0" applyNumberFormat="1" applyFont="1" applyFill="1" applyBorder="1" applyProtection="1">
      <protection hidden="1"/>
    </xf>
    <xf numFmtId="168" fontId="1" fillId="0" borderId="24" xfId="0" applyNumberFormat="1" applyFont="1" applyFill="1" applyBorder="1" applyProtection="1">
      <protection hidden="1"/>
    </xf>
    <xf numFmtId="168" fontId="1" fillId="0" borderId="25" xfId="0" applyNumberFormat="1" applyFont="1" applyFill="1" applyBorder="1" applyProtection="1">
      <protection hidden="1"/>
    </xf>
    <xf numFmtId="167" fontId="1" fillId="0" borderId="20" xfId="0" applyNumberFormat="1" applyFont="1" applyFill="1" applyBorder="1" applyAlignment="1" applyProtection="1">
      <alignment horizontal="right"/>
      <protection hidden="1"/>
    </xf>
    <xf numFmtId="167" fontId="1" fillId="0" borderId="20" xfId="0" applyNumberFormat="1" applyFont="1" applyFill="1" applyBorder="1" applyProtection="1">
      <protection hidden="1"/>
    </xf>
    <xf numFmtId="167" fontId="1" fillId="0" borderId="23" xfId="0" applyNumberFormat="1" applyFont="1" applyFill="1" applyBorder="1" applyProtection="1">
      <protection hidden="1"/>
    </xf>
    <xf numFmtId="0" fontId="13" fillId="0" borderId="0" xfId="1" applyAlignment="1" applyProtection="1">
      <alignment horizontal="center" vertical="top" wrapText="1"/>
    </xf>
    <xf numFmtId="0" fontId="13" fillId="0" borderId="0" xfId="1" applyAlignment="1" applyProtection="1">
      <alignment vertical="top" wrapText="1"/>
    </xf>
    <xf numFmtId="0" fontId="19" fillId="4" borderId="0" xfId="0" applyFont="1" applyFill="1" applyAlignment="1" applyProtection="1">
      <alignment horizontal="center" vertical="top" wrapText="1"/>
    </xf>
    <xf numFmtId="0" fontId="13" fillId="0" borderId="59" xfId="1" applyBorder="1" applyAlignment="1" applyProtection="1">
      <alignment horizontal="center" vertical="top" wrapText="1"/>
    </xf>
    <xf numFmtId="0" fontId="13" fillId="0" borderId="60" xfId="1" applyBorder="1" applyAlignment="1" applyProtection="1">
      <alignment horizontal="center" vertical="top" wrapText="1"/>
    </xf>
    <xf numFmtId="0" fontId="0" fillId="0" borderId="0" xfId="0" applyNumberFormat="1" applyAlignment="1" applyProtection="1">
      <alignment vertical="top" wrapText="1"/>
    </xf>
    <xf numFmtId="0" fontId="0" fillId="0" borderId="0" xfId="0" applyAlignment="1" applyProtection="1">
      <alignment vertical="top" wrapText="1"/>
    </xf>
    <xf numFmtId="0" fontId="25" fillId="0" borderId="61" xfId="0" applyFont="1" applyBorder="1" applyAlignment="1" applyProtection="1">
      <alignment vertical="top" wrapText="1"/>
    </xf>
    <xf numFmtId="0" fontId="26" fillId="0" borderId="62" xfId="0" applyFont="1" applyBorder="1" applyProtection="1"/>
    <xf numFmtId="0" fontId="26" fillId="0" borderId="63" xfId="0" applyFont="1" applyBorder="1" applyProtection="1"/>
    <xf numFmtId="0" fontId="26" fillId="0" borderId="64" xfId="0" applyFont="1" applyBorder="1" applyProtection="1"/>
    <xf numFmtId="0" fontId="26" fillId="0" borderId="0" xfId="0" applyFont="1" applyBorder="1" applyProtection="1"/>
    <xf numFmtId="0" fontId="26" fillId="0" borderId="65" xfId="0" applyFont="1" applyBorder="1" applyProtection="1"/>
    <xf numFmtId="0" fontId="26" fillId="0" borderId="66" xfId="0" applyFont="1" applyBorder="1" applyProtection="1"/>
    <xf numFmtId="0" fontId="26" fillId="0" borderId="67" xfId="0" applyFont="1" applyBorder="1" applyProtection="1"/>
    <xf numFmtId="0" fontId="26" fillId="0" borderId="68" xfId="0" applyFont="1" applyBorder="1" applyProtection="1"/>
    <xf numFmtId="168" fontId="1" fillId="0" borderId="56" xfId="0" applyNumberFormat="1" applyFont="1" applyFill="1" applyBorder="1" applyAlignment="1" applyProtection="1">
      <alignment horizontal="center" vertical="top" wrapText="1"/>
    </xf>
    <xf numFmtId="0" fontId="1" fillId="0" borderId="58" xfId="0" applyFont="1" applyBorder="1" applyAlignment="1" applyProtection="1">
      <alignment horizontal="center" vertical="top" wrapText="1"/>
    </xf>
    <xf numFmtId="183" fontId="5" fillId="0" borderId="30" xfId="0" applyNumberFormat="1" applyFont="1" applyFill="1" applyBorder="1" applyAlignment="1" applyProtection="1">
      <alignment horizontal="center" vertical="top" wrapText="1"/>
    </xf>
    <xf numFmtId="183" fontId="5" fillId="0" borderId="31" xfId="0" applyNumberFormat="1" applyFont="1" applyFill="1" applyBorder="1" applyAlignment="1" applyProtection="1">
      <alignment horizontal="center" vertical="top" wrapText="1"/>
    </xf>
    <xf numFmtId="0" fontId="11" fillId="4" borderId="29" xfId="0" applyFont="1" applyFill="1" applyBorder="1" applyAlignment="1" applyProtection="1"/>
    <xf numFmtId="0" fontId="0" fillId="0" borderId="38" xfId="0" applyBorder="1" applyAlignment="1" applyProtection="1"/>
    <xf numFmtId="0" fontId="0" fillId="0" borderId="39" xfId="0" applyBorder="1" applyAlignment="1" applyProtection="1"/>
    <xf numFmtId="168" fontId="0" fillId="0" borderId="56" xfId="0" applyNumberFormat="1" applyFill="1" applyBorder="1" applyAlignment="1" applyProtection="1">
      <alignment horizontal="center" vertical="top" wrapText="1"/>
    </xf>
    <xf numFmtId="0" fontId="0" fillId="0" borderId="58" xfId="0" applyBorder="1" applyAlignment="1" applyProtection="1">
      <alignment horizontal="center" vertical="top" wrapText="1"/>
    </xf>
    <xf numFmtId="0" fontId="25" fillId="0" borderId="61" xfId="0" applyFont="1" applyFill="1" applyBorder="1" applyAlignment="1" applyProtection="1">
      <alignment horizontal="left" vertical="top" wrapText="1"/>
    </xf>
    <xf numFmtId="0" fontId="25" fillId="0" borderId="62" xfId="0" applyFont="1" applyBorder="1" applyAlignment="1" applyProtection="1">
      <alignment horizontal="left" vertical="top" wrapText="1"/>
    </xf>
    <xf numFmtId="0" fontId="25" fillId="0" borderId="63" xfId="0" applyFont="1" applyBorder="1" applyAlignment="1" applyProtection="1">
      <alignment horizontal="left" vertical="top" wrapText="1"/>
    </xf>
    <xf numFmtId="0" fontId="25" fillId="0" borderId="64" xfId="0" applyFont="1" applyBorder="1" applyAlignment="1" applyProtection="1">
      <alignment horizontal="left" vertical="top" wrapText="1"/>
    </xf>
    <xf numFmtId="0" fontId="25" fillId="0" borderId="0" xfId="0" applyFont="1" applyBorder="1" applyAlignment="1" applyProtection="1">
      <alignment horizontal="left" vertical="top" wrapText="1"/>
    </xf>
    <xf numFmtId="0" fontId="25" fillId="0" borderId="65" xfId="0" applyFont="1" applyBorder="1" applyAlignment="1" applyProtection="1">
      <alignment horizontal="left" vertical="top" wrapText="1"/>
    </xf>
    <xf numFmtId="0" fontId="25" fillId="0" borderId="66" xfId="0" applyFont="1" applyBorder="1" applyAlignment="1" applyProtection="1">
      <alignment horizontal="left" vertical="top" wrapText="1"/>
    </xf>
    <xf numFmtId="0" fontId="25" fillId="0" borderId="67" xfId="0" applyFont="1" applyBorder="1" applyAlignment="1" applyProtection="1">
      <alignment horizontal="left" vertical="top" wrapText="1"/>
    </xf>
    <xf numFmtId="0" fontId="25" fillId="0" borderId="68" xfId="0" applyFont="1" applyBorder="1" applyAlignment="1" applyProtection="1">
      <alignment horizontal="left" vertical="top" wrapText="1"/>
    </xf>
    <xf numFmtId="0" fontId="13" fillId="0" borderId="0" xfId="1" applyFill="1" applyBorder="1" applyAlignment="1" applyProtection="1">
      <alignment horizontal="center" vertical="top" wrapText="1"/>
    </xf>
    <xf numFmtId="165" fontId="1" fillId="3" borderId="69" xfId="0" applyNumberFormat="1" applyFont="1" applyFill="1" applyBorder="1" applyAlignment="1" applyProtection="1">
      <alignment vertical="top" wrapText="1"/>
      <protection locked="0"/>
    </xf>
    <xf numFmtId="0" fontId="1" fillId="3" borderId="70" xfId="0" applyFont="1" applyFill="1" applyBorder="1" applyAlignment="1" applyProtection="1">
      <alignment vertical="top" wrapText="1"/>
      <protection locked="0"/>
    </xf>
    <xf numFmtId="0" fontId="0" fillId="0" borderId="70" xfId="0" applyBorder="1" applyAlignment="1" applyProtection="1">
      <alignment vertical="top" wrapText="1"/>
      <protection locked="0"/>
    </xf>
    <xf numFmtId="0" fontId="0" fillId="0" borderId="71" xfId="0" applyBorder="1" applyAlignment="1" applyProtection="1">
      <alignment vertical="top" wrapText="1"/>
      <protection locked="0"/>
    </xf>
    <xf numFmtId="0" fontId="1" fillId="3" borderId="72" xfId="0" applyFont="1" applyFill="1" applyBorder="1" applyAlignment="1" applyProtection="1">
      <alignment vertical="top" wrapText="1"/>
      <protection locked="0"/>
    </xf>
    <xf numFmtId="0" fontId="1" fillId="3" borderId="73" xfId="0" applyFont="1" applyFill="1" applyBorder="1" applyAlignment="1" applyProtection="1">
      <alignment vertical="top" wrapText="1"/>
      <protection locked="0"/>
    </xf>
    <xf numFmtId="0" fontId="0" fillId="0" borderId="73" xfId="0" applyBorder="1" applyAlignment="1" applyProtection="1">
      <alignment vertical="top" wrapText="1"/>
      <protection locked="0"/>
    </xf>
    <xf numFmtId="0" fontId="0" fillId="0" borderId="74" xfId="0" applyBorder="1" applyAlignment="1" applyProtection="1">
      <alignment vertical="top" wrapText="1"/>
      <protection locked="0"/>
    </xf>
    <xf numFmtId="192" fontId="1" fillId="0" borderId="56" xfId="0" applyNumberFormat="1" applyFont="1" applyFill="1" applyBorder="1" applyAlignment="1" applyProtection="1">
      <alignment horizontal="center" vertical="top" wrapText="1"/>
      <protection locked="0"/>
    </xf>
    <xf numFmtId="192" fontId="1" fillId="0" borderId="58" xfId="0" applyNumberFormat="1" applyFont="1" applyFill="1" applyBorder="1" applyAlignment="1" applyProtection="1">
      <alignment horizontal="center" vertical="top" wrapText="1"/>
      <protection locked="0"/>
    </xf>
    <xf numFmtId="0" fontId="1" fillId="0" borderId="13" xfId="0" applyFont="1" applyFill="1" applyBorder="1" applyAlignment="1" applyProtection="1">
      <alignment horizontal="center" vertical="center" wrapText="1"/>
    </xf>
    <xf numFmtId="0" fontId="1" fillId="0" borderId="20" xfId="0" applyFont="1" applyBorder="1" applyAlignment="1" applyProtection="1">
      <alignment horizontal="center" wrapText="1"/>
    </xf>
    <xf numFmtId="0" fontId="1" fillId="0" borderId="23" xfId="0" applyFont="1" applyBorder="1" applyAlignment="1" applyProtection="1">
      <alignment horizontal="center" wrapText="1"/>
    </xf>
    <xf numFmtId="0" fontId="0" fillId="0" borderId="29" xfId="0" applyFill="1" applyBorder="1" applyAlignment="1" applyProtection="1">
      <alignment horizontal="center" vertical="top" wrapText="1"/>
    </xf>
    <xf numFmtId="0" fontId="0" fillId="0" borderId="39" xfId="0" applyBorder="1" applyAlignment="1" applyProtection="1">
      <alignment horizontal="center" vertical="top" wrapText="1"/>
    </xf>
    <xf numFmtId="0" fontId="0" fillId="0" borderId="39" xfId="0" applyFill="1" applyBorder="1" applyAlignment="1" applyProtection="1">
      <alignment horizontal="center" vertical="top" wrapText="1"/>
    </xf>
    <xf numFmtId="0" fontId="13" fillId="0" borderId="59" xfId="1" applyFill="1" applyBorder="1" applyAlignment="1" applyProtection="1">
      <alignment horizontal="center" vertical="top" wrapText="1"/>
    </xf>
    <xf numFmtId="0" fontId="0" fillId="0" borderId="0" xfId="0" applyFill="1" applyAlignment="1" applyProtection="1">
      <alignment vertical="top" wrapText="1"/>
    </xf>
    <xf numFmtId="0" fontId="0" fillId="0" borderId="13" xfId="0" applyBorder="1" applyAlignment="1" applyProtection="1">
      <alignment vertical="top" wrapText="1"/>
    </xf>
    <xf numFmtId="0" fontId="0" fillId="0" borderId="37" xfId="0" applyBorder="1" applyAlignment="1" applyProtection="1">
      <alignment vertical="top" wrapText="1"/>
    </xf>
    <xf numFmtId="0" fontId="0" fillId="0" borderId="14" xfId="0" applyBorder="1" applyAlignment="1" applyProtection="1">
      <alignment vertical="top" wrapText="1"/>
    </xf>
    <xf numFmtId="0" fontId="0" fillId="0" borderId="20" xfId="0" applyBorder="1" applyAlignment="1" applyProtection="1">
      <alignment vertical="top" wrapText="1"/>
    </xf>
    <xf numFmtId="0" fontId="0" fillId="0" borderId="0" xfId="0" applyBorder="1" applyAlignment="1" applyProtection="1">
      <alignment vertical="top" wrapText="1"/>
    </xf>
    <xf numFmtId="0" fontId="0" fillId="0" borderId="26" xfId="0" applyBorder="1" applyAlignment="1" applyProtection="1">
      <alignment vertical="top" wrapText="1"/>
    </xf>
    <xf numFmtId="0" fontId="0" fillId="0" borderId="23" xfId="0" applyBorder="1" applyAlignment="1" applyProtection="1">
      <alignment vertical="top" wrapText="1"/>
    </xf>
    <xf numFmtId="0" fontId="0" fillId="0" borderId="36" xfId="0" applyBorder="1" applyAlignment="1" applyProtection="1">
      <alignment vertical="top" wrapText="1"/>
    </xf>
    <xf numFmtId="0" fontId="0" fillId="0" borderId="43" xfId="0" applyBorder="1" applyAlignment="1" applyProtection="1">
      <alignment vertical="top" wrapText="1"/>
    </xf>
    <xf numFmtId="192" fontId="1" fillId="0" borderId="56" xfId="0" applyNumberFormat="1" applyFont="1" applyFill="1" applyBorder="1" applyAlignment="1" applyProtection="1">
      <alignment horizontal="center" vertical="top" wrapText="1"/>
    </xf>
    <xf numFmtId="192" fontId="1" fillId="0" borderId="58" xfId="0" applyNumberFormat="1" applyFont="1" applyFill="1" applyBorder="1" applyAlignment="1" applyProtection="1">
      <alignment horizontal="center" vertical="top" wrapText="1"/>
    </xf>
    <xf numFmtId="0" fontId="1" fillId="3" borderId="56" xfId="0" applyFont="1" applyFill="1" applyBorder="1" applyAlignment="1" applyProtection="1">
      <alignment vertical="top" wrapText="1"/>
      <protection locked="0"/>
    </xf>
    <xf numFmtId="0" fontId="0" fillId="0" borderId="57" xfId="0" applyBorder="1" applyAlignment="1" applyProtection="1">
      <alignment vertical="top" wrapText="1"/>
      <protection locked="0"/>
    </xf>
    <xf numFmtId="0" fontId="0" fillId="0" borderId="58" xfId="0" applyBorder="1" applyAlignment="1" applyProtection="1">
      <alignment vertical="top" wrapText="1"/>
      <protection locked="0"/>
    </xf>
    <xf numFmtId="190" fontId="0" fillId="2" borderId="32" xfId="0" applyNumberFormat="1" applyFill="1" applyBorder="1" applyAlignment="1" applyProtection="1">
      <alignment horizontal="center" vertical="top" wrapText="1"/>
    </xf>
    <xf numFmtId="0" fontId="0" fillId="2" borderId="0" xfId="0" applyFill="1" applyBorder="1" applyAlignment="1" applyProtection="1">
      <alignment horizontal="center" vertical="top" wrapText="1"/>
    </xf>
    <xf numFmtId="0" fontId="0" fillId="3" borderId="57" xfId="0" applyFill="1" applyBorder="1" applyAlignment="1" applyProtection="1">
      <alignment vertical="top" wrapText="1"/>
      <protection locked="0"/>
    </xf>
    <xf numFmtId="0" fontId="12" fillId="4" borderId="29" xfId="0" applyFont="1" applyFill="1" applyBorder="1" applyAlignment="1" applyProtection="1">
      <alignment horizontal="center" vertical="top" wrapText="1"/>
    </xf>
    <xf numFmtId="0" fontId="12" fillId="4" borderId="38" xfId="0" applyFont="1" applyFill="1" applyBorder="1" applyAlignment="1" applyProtection="1">
      <alignment horizontal="center" vertical="top" wrapText="1"/>
    </xf>
    <xf numFmtId="0" fontId="12" fillId="4" borderId="39" xfId="0" applyFont="1" applyFill="1" applyBorder="1" applyAlignment="1" applyProtection="1">
      <alignment horizontal="center" vertical="top" wrapText="1"/>
    </xf>
    <xf numFmtId="190" fontId="0" fillId="2" borderId="20" xfId="0" applyNumberFormat="1" applyFill="1" applyBorder="1" applyAlignment="1" applyProtection="1">
      <alignment horizontal="center" vertical="top" wrapText="1"/>
    </xf>
    <xf numFmtId="0" fontId="5" fillId="0" borderId="39" xfId="0" applyFont="1" applyBorder="1" applyAlignment="1" applyProtection="1">
      <alignment horizontal="center" vertical="top" wrapText="1"/>
    </xf>
    <xf numFmtId="0" fontId="5" fillId="0" borderId="56" xfId="0" applyFont="1" applyFill="1" applyBorder="1" applyAlignment="1" applyProtection="1">
      <alignment vertical="top" wrapText="1"/>
    </xf>
    <xf numFmtId="0" fontId="5" fillId="0" borderId="57" xfId="0" applyFont="1" applyFill="1" applyBorder="1" applyAlignment="1" applyProtection="1">
      <alignment vertical="top" wrapText="1"/>
    </xf>
    <xf numFmtId="0" fontId="5" fillId="0" borderId="58" xfId="0" applyFont="1" applyFill="1" applyBorder="1" applyAlignment="1" applyProtection="1">
      <alignment vertical="top" wrapText="1"/>
    </xf>
    <xf numFmtId="0" fontId="12" fillId="4" borderId="13" xfId="0" applyFont="1" applyFill="1" applyBorder="1" applyAlignment="1" applyProtection="1">
      <alignment horizontal="center" vertical="top" wrapText="1"/>
    </xf>
    <xf numFmtId="0" fontId="12" fillId="4" borderId="37" xfId="0" applyFont="1" applyFill="1" applyBorder="1" applyAlignment="1" applyProtection="1">
      <alignment horizontal="center" vertical="top" wrapText="1"/>
    </xf>
    <xf numFmtId="0" fontId="12" fillId="4" borderId="14" xfId="0" applyFont="1" applyFill="1" applyBorder="1" applyAlignment="1" applyProtection="1">
      <alignment horizontal="center" vertical="top" wrapText="1"/>
    </xf>
    <xf numFmtId="0" fontId="13" fillId="0" borderId="75" xfId="1" applyFill="1" applyBorder="1" applyAlignment="1" applyProtection="1">
      <alignment vertical="center" wrapText="1"/>
    </xf>
    <xf numFmtId="0" fontId="13" fillId="0" borderId="76" xfId="1" applyBorder="1" applyAlignment="1" applyProtection="1">
      <alignment vertical="center" wrapText="1"/>
    </xf>
    <xf numFmtId="0" fontId="13" fillId="0" borderId="77" xfId="1" applyBorder="1" applyAlignment="1" applyProtection="1">
      <alignment vertical="center" wrapText="1"/>
    </xf>
    <xf numFmtId="0" fontId="1" fillId="3" borderId="13" xfId="0" applyFont="1" applyFill="1" applyBorder="1" applyAlignment="1" applyProtection="1">
      <alignment vertical="top" wrapText="1"/>
      <protection locked="0"/>
    </xf>
    <xf numFmtId="0" fontId="0" fillId="0" borderId="37"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0" borderId="78" xfId="0" applyBorder="1" applyAlignment="1" applyProtection="1">
      <alignment vertical="top" wrapText="1"/>
      <protection locked="0"/>
    </xf>
    <xf numFmtId="0" fontId="0" fillId="0" borderId="79" xfId="0" applyBorder="1" applyAlignment="1" applyProtection="1">
      <alignment vertical="top" wrapText="1"/>
      <protection locked="0"/>
    </xf>
    <xf numFmtId="0" fontId="0" fillId="0" borderId="80" xfId="0" applyBorder="1" applyAlignment="1" applyProtection="1">
      <alignment vertical="top" wrapText="1"/>
      <protection locked="0"/>
    </xf>
    <xf numFmtId="0" fontId="0" fillId="0" borderId="81" xfId="0" applyBorder="1" applyAlignment="1" applyProtection="1">
      <alignment vertical="top" wrapText="1"/>
      <protection locked="0"/>
    </xf>
    <xf numFmtId="0" fontId="0" fillId="0" borderId="82" xfId="0" applyBorder="1" applyAlignment="1" applyProtection="1">
      <alignment vertical="top" wrapText="1"/>
      <protection locked="0"/>
    </xf>
    <xf numFmtId="0" fontId="0" fillId="0" borderId="83" xfId="0" applyBorder="1" applyAlignment="1" applyProtection="1">
      <alignment vertical="top" wrapText="1"/>
      <protection locked="0"/>
    </xf>
    <xf numFmtId="0" fontId="0" fillId="0" borderId="0" xfId="0" applyBorder="1" applyAlignment="1" applyProtection="1">
      <alignment horizontal="center" vertical="top" wrapText="1"/>
    </xf>
    <xf numFmtId="0" fontId="0" fillId="3" borderId="56" xfId="0" applyFill="1" applyBorder="1" applyAlignment="1" applyProtection="1">
      <alignment vertical="top" wrapText="1"/>
      <protection locked="0"/>
    </xf>
    <xf numFmtId="0" fontId="0" fillId="3" borderId="58" xfId="0" applyFill="1" applyBorder="1" applyAlignment="1" applyProtection="1">
      <alignment vertical="top" wrapText="1"/>
      <protection locked="0"/>
    </xf>
    <xf numFmtId="0" fontId="25" fillId="0" borderId="61" xfId="0" applyFont="1" applyFill="1" applyBorder="1" applyAlignment="1" applyProtection="1">
      <alignment vertical="top" wrapText="1"/>
    </xf>
    <xf numFmtId="0" fontId="25" fillId="0" borderId="62" xfId="0" applyFont="1" applyBorder="1" applyAlignment="1" applyProtection="1">
      <alignment vertical="top" wrapText="1"/>
    </xf>
    <xf numFmtId="0" fontId="25" fillId="0" borderId="63" xfId="0" applyFont="1" applyBorder="1" applyAlignment="1" applyProtection="1">
      <alignment vertical="top" wrapText="1"/>
    </xf>
    <xf numFmtId="0" fontId="25" fillId="0" borderId="64" xfId="0" applyFont="1" applyBorder="1" applyAlignment="1" applyProtection="1">
      <alignment vertical="top" wrapText="1"/>
    </xf>
    <xf numFmtId="0" fontId="25" fillId="0" borderId="0" xfId="0" applyFont="1" applyBorder="1" applyAlignment="1" applyProtection="1">
      <alignment vertical="top" wrapText="1"/>
    </xf>
    <xf numFmtId="0" fontId="25" fillId="0" borderId="65" xfId="0" applyFont="1" applyBorder="1" applyAlignment="1" applyProtection="1">
      <alignment vertical="top" wrapText="1"/>
    </xf>
    <xf numFmtId="0" fontId="25" fillId="0" borderId="66" xfId="0" applyFont="1" applyBorder="1" applyAlignment="1" applyProtection="1">
      <alignment vertical="top" wrapText="1"/>
    </xf>
    <xf numFmtId="0" fontId="25" fillId="0" borderId="67" xfId="0" applyFont="1" applyBorder="1" applyAlignment="1" applyProtection="1">
      <alignment vertical="top" wrapText="1"/>
    </xf>
    <xf numFmtId="0" fontId="25" fillId="0" borderId="68" xfId="0" applyFont="1" applyBorder="1" applyAlignment="1" applyProtection="1">
      <alignment vertical="top" wrapText="1"/>
    </xf>
    <xf numFmtId="9" fontId="19" fillId="4" borderId="0" xfId="2" applyFont="1" applyFill="1" applyBorder="1" applyAlignment="1" applyProtection="1">
      <alignment horizontal="center" vertical="top" wrapText="1"/>
    </xf>
    <xf numFmtId="9" fontId="0" fillId="0" borderId="0" xfId="2" applyFont="1" applyFill="1" applyBorder="1" applyAlignment="1" applyProtection="1">
      <alignment vertical="top" wrapText="1"/>
    </xf>
    <xf numFmtId="9" fontId="12" fillId="4" borderId="29" xfId="2" applyFont="1" applyFill="1" applyBorder="1" applyAlignment="1" applyProtection="1">
      <alignment horizontal="center" vertical="top" wrapText="1"/>
    </xf>
    <xf numFmtId="0" fontId="5" fillId="0" borderId="38" xfId="0" applyFont="1" applyBorder="1" applyAlignment="1" applyProtection="1">
      <alignment horizontal="center" vertical="top" wrapText="1"/>
    </xf>
    <xf numFmtId="0" fontId="0" fillId="3" borderId="56" xfId="0" applyFill="1" applyBorder="1" applyAlignment="1" applyProtection="1">
      <alignment vertical="center" wrapText="1"/>
      <protection locked="0"/>
    </xf>
    <xf numFmtId="0" fontId="0" fillId="3" borderId="57" xfId="0" applyFill="1" applyBorder="1" applyAlignment="1" applyProtection="1">
      <alignment vertical="center" wrapText="1"/>
      <protection locked="0"/>
    </xf>
    <xf numFmtId="0" fontId="0" fillId="3" borderId="58" xfId="0" applyFill="1" applyBorder="1" applyAlignment="1" applyProtection="1">
      <alignment vertical="center" wrapText="1"/>
      <protection locked="0"/>
    </xf>
    <xf numFmtId="188" fontId="0" fillId="2" borderId="0" xfId="2" quotePrefix="1" applyNumberFormat="1" applyFont="1" applyFill="1" applyBorder="1" applyAlignment="1" applyProtection="1">
      <alignment vertical="top" wrapText="1"/>
    </xf>
    <xf numFmtId="188" fontId="0" fillId="2" borderId="0" xfId="0" applyNumberFormat="1" applyFill="1" applyBorder="1" applyAlignment="1" applyProtection="1">
      <alignment vertical="top" wrapText="1"/>
    </xf>
    <xf numFmtId="0" fontId="12" fillId="4" borderId="0" xfId="0" applyFont="1" applyFill="1" applyAlignment="1" applyProtection="1">
      <alignment horizontal="center" vertical="top" wrapText="1"/>
    </xf>
    <xf numFmtId="0" fontId="5" fillId="0" borderId="0" xfId="0" applyFont="1" applyAlignment="1" applyProtection="1">
      <alignment horizontal="center" vertical="top" wrapText="1"/>
    </xf>
    <xf numFmtId="188" fontId="1" fillId="2" borderId="0" xfId="0" applyNumberFormat="1" applyFont="1" applyFill="1" applyBorder="1" applyAlignment="1" applyProtection="1">
      <alignment vertical="top" wrapText="1"/>
    </xf>
    <xf numFmtId="188" fontId="1" fillId="2" borderId="40" xfId="0" applyNumberFormat="1" applyFont="1" applyFill="1" applyBorder="1" applyAlignment="1" applyProtection="1">
      <alignment vertical="top" wrapText="1"/>
    </xf>
    <xf numFmtId="0" fontId="25" fillId="0" borderId="61" xfId="0" quotePrefix="1" applyFont="1" applyBorder="1" applyAlignment="1" applyProtection="1">
      <alignment vertical="top" wrapText="1"/>
    </xf>
    <xf numFmtId="9" fontId="5" fillId="2" borderId="32" xfId="2" applyFont="1" applyFill="1" applyBorder="1" applyAlignment="1" applyProtection="1">
      <alignment vertical="top" wrapText="1"/>
    </xf>
    <xf numFmtId="0" fontId="0" fillId="0" borderId="40" xfId="0" applyBorder="1" applyAlignment="1" applyProtection="1">
      <alignment vertical="top" wrapText="1"/>
    </xf>
    <xf numFmtId="0" fontId="0" fillId="0" borderId="32" xfId="0" applyBorder="1" applyAlignment="1" applyProtection="1">
      <alignment vertical="top" wrapText="1"/>
    </xf>
    <xf numFmtId="188" fontId="1" fillId="2" borderId="32" xfId="0" applyNumberFormat="1" applyFont="1" applyFill="1" applyBorder="1" applyAlignment="1" applyProtection="1">
      <alignment vertical="top" wrapText="1"/>
    </xf>
    <xf numFmtId="0" fontId="13" fillId="0" borderId="15" xfId="1" applyFill="1" applyBorder="1" applyAlignment="1" applyProtection="1">
      <alignment vertical="center" wrapText="1"/>
    </xf>
    <xf numFmtId="10" fontId="12" fillId="4" borderId="29" xfId="0" applyNumberFormat="1" applyFont="1" applyFill="1" applyBorder="1" applyAlignment="1" applyProtection="1">
      <alignment vertical="top" wrapText="1"/>
    </xf>
    <xf numFmtId="0" fontId="5" fillId="0" borderId="38" xfId="0" applyFont="1" applyBorder="1" applyAlignment="1" applyProtection="1">
      <alignment vertical="top" wrapText="1"/>
    </xf>
    <xf numFmtId="0" fontId="5" fillId="0" borderId="39" xfId="0" applyFont="1" applyBorder="1" applyAlignment="1" applyProtection="1">
      <alignment vertical="top" wrapText="1"/>
    </xf>
    <xf numFmtId="10" fontId="0" fillId="3" borderId="44" xfId="0" applyNumberFormat="1" applyFill="1" applyBorder="1" applyAlignment="1" applyProtection="1">
      <alignment vertical="top" wrapText="1"/>
      <protection locked="0"/>
    </xf>
    <xf numFmtId="0" fontId="5" fillId="0" borderId="0" xfId="0" applyFont="1" applyAlignment="1" applyProtection="1">
      <alignment vertical="top" wrapText="1"/>
    </xf>
    <xf numFmtId="0" fontId="0" fillId="3" borderId="37" xfId="0" applyFill="1" applyBorder="1" applyAlignment="1" applyProtection="1">
      <alignment vertical="top" wrapText="1"/>
      <protection locked="0"/>
    </xf>
    <xf numFmtId="0" fontId="0" fillId="3" borderId="14" xfId="0" applyFill="1" applyBorder="1" applyAlignment="1" applyProtection="1">
      <alignment vertical="top" wrapText="1"/>
      <protection locked="0"/>
    </xf>
    <xf numFmtId="0" fontId="19" fillId="4" borderId="29" xfId="0" applyFont="1" applyFill="1" applyBorder="1" applyAlignment="1" applyProtection="1">
      <alignment vertical="top" wrapText="1"/>
    </xf>
    <xf numFmtId="0" fontId="19" fillId="4" borderId="38" xfId="0" applyFont="1" applyFill="1" applyBorder="1" applyAlignment="1" applyProtection="1">
      <alignment vertical="top" wrapText="1"/>
    </xf>
    <xf numFmtId="0" fontId="19" fillId="4" borderId="39" xfId="0" applyFont="1" applyFill="1" applyBorder="1" applyAlignment="1" applyProtection="1">
      <alignment vertical="top" wrapText="1"/>
    </xf>
    <xf numFmtId="197" fontId="5" fillId="0" borderId="57" xfId="0" applyNumberFormat="1" applyFont="1" applyFill="1" applyBorder="1" applyAlignment="1" applyProtection="1">
      <alignment horizontal="center" vertical="top" wrapText="1"/>
    </xf>
    <xf numFmtId="197" fontId="5" fillId="0" borderId="58" xfId="0" applyNumberFormat="1" applyFont="1" applyBorder="1" applyAlignment="1" applyProtection="1">
      <alignment horizontal="center" vertical="top" wrapText="1"/>
    </xf>
    <xf numFmtId="0" fontId="11" fillId="4" borderId="0" xfId="0" applyFont="1" applyFill="1" applyAlignment="1" applyProtection="1">
      <alignment vertical="top" wrapText="1"/>
    </xf>
  </cellXfs>
  <cellStyles count="3">
    <cellStyle name="Hyperlink" xfId="1" builtinId="8"/>
    <cellStyle name="Normal" xfId="0" builtinId="0"/>
    <cellStyle name="Percent" xfId="2" builtinId="5"/>
  </cellStyles>
  <dxfs count="19">
    <dxf>
      <font>
        <condense val="0"/>
        <extend val="0"/>
        <color auto="1"/>
      </font>
    </dxf>
    <dxf>
      <font>
        <condense val="0"/>
        <extend val="0"/>
        <color indexed="9"/>
      </font>
      <fill>
        <patternFill>
          <bgColor indexed="10"/>
        </patternFill>
      </fill>
    </dxf>
    <dxf>
      <font>
        <condense val="0"/>
        <extend val="0"/>
        <color indexed="9"/>
      </font>
      <fill>
        <patternFill>
          <bgColor indexed="10"/>
        </patternFill>
      </fill>
    </dxf>
    <dxf>
      <font>
        <condense val="0"/>
        <extend val="0"/>
        <color indexed="9"/>
      </font>
      <fill>
        <patternFill>
          <bgColor indexed="53"/>
        </patternFill>
      </fill>
    </dxf>
    <dxf>
      <font>
        <condense val="0"/>
        <extend val="0"/>
        <color indexed="9"/>
      </font>
      <fill>
        <patternFill>
          <bgColor indexed="53"/>
        </patternFill>
      </fill>
    </dxf>
    <dxf>
      <font>
        <condense val="0"/>
        <extend val="0"/>
        <color indexed="9"/>
      </font>
      <fill>
        <patternFill>
          <bgColor indexed="10"/>
        </patternFill>
      </fill>
    </dxf>
    <dxf>
      <font>
        <condense val="0"/>
        <extend val="0"/>
        <color indexed="9"/>
      </font>
      <fill>
        <patternFill>
          <bgColor indexed="10"/>
        </patternFill>
      </fill>
    </dxf>
    <dxf>
      <font>
        <strike val="0"/>
        <condense val="0"/>
        <extend val="0"/>
        <color indexed="23"/>
      </font>
    </dxf>
    <dxf>
      <font>
        <b/>
        <i val="0"/>
        <condense val="0"/>
        <extend val="0"/>
      </font>
    </dxf>
    <dxf>
      <font>
        <strike val="0"/>
        <condense val="0"/>
        <extend val="0"/>
        <color indexed="23"/>
      </font>
    </dxf>
    <dxf>
      <font>
        <strike val="0"/>
        <condense val="0"/>
        <extend val="0"/>
        <color indexed="23"/>
      </font>
    </dxf>
    <dxf>
      <font>
        <b/>
        <i val="0"/>
        <condense val="0"/>
        <extend val="0"/>
      </font>
    </dxf>
    <dxf>
      <font>
        <strike val="0"/>
        <condense val="0"/>
        <extend val="0"/>
        <color indexed="23"/>
      </font>
    </dxf>
    <dxf>
      <font>
        <condense val="0"/>
        <extend val="0"/>
        <color indexed="9"/>
      </font>
    </dxf>
    <dxf>
      <font>
        <condense val="0"/>
        <extend val="0"/>
        <color indexed="9"/>
      </font>
      <fill>
        <patternFill>
          <bgColor indexed="10"/>
        </patternFill>
      </fill>
    </dxf>
    <dxf>
      <font>
        <condense val="0"/>
        <extend val="0"/>
        <color indexed="9"/>
      </font>
    </dxf>
    <dxf>
      <border>
        <left/>
        <right/>
        <top/>
        <bottom style="thin">
          <color indexed="64"/>
        </bottom>
      </border>
    </dxf>
    <dxf>
      <font>
        <condense val="0"/>
        <extend val="0"/>
        <color indexed="9"/>
      </font>
    </dxf>
    <dxf>
      <border>
        <left/>
        <right/>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Charts!$B$113</c:f>
          <c:strCache>
            <c:ptCount val="1"/>
            <c:pt idx="0">
              <c:v>Interest margin as function of coverage ratio for chosen scenario (1)</c:v>
            </c:pt>
          </c:strCache>
        </c:strRef>
      </c:tx>
      <c:layout>
        <c:manualLayout>
          <c:xMode val="edge"/>
          <c:yMode val="edge"/>
          <c:x val="0.12812499999999999"/>
          <c:y val="1.7241379310344827E-2"/>
        </c:manualLayout>
      </c:layout>
      <c:overlay val="0"/>
      <c:spPr>
        <a:noFill/>
        <a:ln w="25400">
          <a:noFill/>
        </a:ln>
      </c:spPr>
      <c:txPr>
        <a:bodyPr/>
        <a:lstStyle/>
        <a:p>
          <a:pPr>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8124999999999999"/>
          <c:y val="0.17586206896551723"/>
          <c:w val="0.72499999999999998"/>
          <c:h val="0.57931034482758625"/>
        </c:manualLayout>
      </c:layout>
      <c:scatterChart>
        <c:scatterStyle val="smoothMarker"/>
        <c:varyColors val="0"/>
        <c:ser>
          <c:idx val="0"/>
          <c:order val="0"/>
          <c:spPr>
            <a:ln w="38100">
              <a:solidFill>
                <a:srgbClr val="000080"/>
              </a:solidFill>
              <a:prstDash val="solid"/>
            </a:ln>
          </c:spPr>
          <c:marker>
            <c:symbol val="diamond"/>
            <c:size val="7"/>
            <c:spPr>
              <a:solidFill>
                <a:srgbClr val="000080"/>
              </a:solidFill>
              <a:ln>
                <a:solidFill>
                  <a:srgbClr val="000080"/>
                </a:solidFill>
                <a:prstDash val="solid"/>
              </a:ln>
            </c:spPr>
          </c:marker>
          <c:xVal>
            <c:numRef>
              <c:f>Main!$C$15:$C$19</c:f>
              <c:numCache>
                <c:formatCode>#,##0.0\ ;\(#,##0.0\);\-\ </c:formatCode>
                <c:ptCount val="5"/>
                <c:pt idx="0">
                  <c:v>7.5</c:v>
                </c:pt>
                <c:pt idx="1">
                  <c:v>6</c:v>
                </c:pt>
                <c:pt idx="2">
                  <c:v>4.5</c:v>
                </c:pt>
                <c:pt idx="3">
                  <c:v>3</c:v>
                </c:pt>
                <c:pt idx="4">
                  <c:v>1.5</c:v>
                </c:pt>
              </c:numCache>
            </c:numRef>
          </c:xVal>
          <c:yVal>
            <c:numRef>
              <c:f>Main!$D$15:$D$19</c:f>
              <c:numCache>
                <c:formatCode>0.0%</c:formatCode>
                <c:ptCount val="5"/>
                <c:pt idx="0">
                  <c:v>5.0000000000000001E-3</c:v>
                </c:pt>
                <c:pt idx="1">
                  <c:v>0.01</c:v>
                </c:pt>
                <c:pt idx="2">
                  <c:v>0.02</c:v>
                </c:pt>
                <c:pt idx="3">
                  <c:v>0.04</c:v>
                </c:pt>
                <c:pt idx="4">
                  <c:v>7.0000000000000007E-2</c:v>
                </c:pt>
              </c:numCache>
            </c:numRef>
          </c:yVal>
          <c:smooth val="1"/>
          <c:extLst>
            <c:ext xmlns:c16="http://schemas.microsoft.com/office/drawing/2014/chart" uri="{C3380CC4-5D6E-409C-BE32-E72D297353CC}">
              <c16:uniqueId val="{00000000-DAE1-4C34-9F82-36477380AD79}"/>
            </c:ext>
          </c:extLst>
        </c:ser>
        <c:dLbls>
          <c:showLegendKey val="0"/>
          <c:showVal val="0"/>
          <c:showCatName val="0"/>
          <c:showSerName val="0"/>
          <c:showPercent val="0"/>
          <c:showBubbleSize val="0"/>
        </c:dLbls>
        <c:axId val="388470112"/>
        <c:axId val="1"/>
      </c:scatterChart>
      <c:valAx>
        <c:axId val="388470112"/>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AU"/>
                  <a:t>Coverage ratio ( EBITDA / Interest payment)</a:t>
                </a:r>
              </a:p>
            </c:rich>
          </c:tx>
          <c:layout>
            <c:manualLayout>
              <c:xMode val="edge"/>
              <c:yMode val="edge"/>
              <c:x val="0.19791666666666666"/>
              <c:y val="0.87126436781609196"/>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crossBetween val="midCat"/>
      </c:valAx>
      <c:valAx>
        <c:axId val="1"/>
        <c:scaling>
          <c:orientation val="minMax"/>
        </c:scaling>
        <c:delete val="0"/>
        <c:axPos val="l"/>
        <c:majorGridlines>
          <c:spPr>
            <a:ln w="3175">
              <a:solidFill>
                <a:srgbClr val="C0C0C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88470112"/>
        <c:crosses val="autoZero"/>
        <c:crossBetween val="midCat"/>
      </c:valAx>
      <c:spPr>
        <a:solidFill>
          <a:srgbClr val="FFFFCC"/>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5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00007629400352"/>
          <c:y val="5.8394264645345015E-2"/>
          <c:w val="0.86093815684368658"/>
          <c:h val="0.74452687422814889"/>
        </c:manualLayout>
      </c:layout>
      <c:scatterChart>
        <c:scatterStyle val="lineMarker"/>
        <c:varyColors val="0"/>
        <c:ser>
          <c:idx val="0"/>
          <c:order val="0"/>
          <c:spPr>
            <a:ln w="38100">
              <a:solidFill>
                <a:srgbClr val="000000"/>
              </a:solidFill>
              <a:prstDash val="sysDash"/>
            </a:ln>
          </c:spPr>
          <c:marker>
            <c:symbol val="none"/>
          </c:marker>
          <c:xVal>
            <c:numRef>
              <c:f>[0]!chart_phase_1_dates</c:f>
              <c:numCache>
                <c:formatCode>General</c:formatCode>
                <c:ptCount val="6"/>
                <c:pt idx="0">
                  <c:v>2020</c:v>
                </c:pt>
                <c:pt idx="1">
                  <c:v>2021</c:v>
                </c:pt>
                <c:pt idx="2">
                  <c:v>2022</c:v>
                </c:pt>
                <c:pt idx="3">
                  <c:v>2023</c:v>
                </c:pt>
                <c:pt idx="4">
                  <c:v>2024</c:v>
                </c:pt>
                <c:pt idx="5">
                  <c:v>2025</c:v>
                </c:pt>
              </c:numCache>
            </c:numRef>
          </c:xVal>
          <c:yVal>
            <c:numRef>
              <c:f>[0]!chart_phase_1_high_values</c:f>
              <c:numCache>
                <c:formatCode>0.00%</c:formatCode>
                <c:ptCount val="6"/>
                <c:pt idx="0">
                  <c:v>1.1000103791611764</c:v>
                </c:pt>
                <c:pt idx="1">
                  <c:v>1.1000103791611764</c:v>
                </c:pt>
                <c:pt idx="2">
                  <c:v>1.1000103791611764</c:v>
                </c:pt>
                <c:pt idx="3">
                  <c:v>0.76667358610745096</c:v>
                </c:pt>
                <c:pt idx="4">
                  <c:v>0.43333679305372552</c:v>
                </c:pt>
                <c:pt idx="5">
                  <c:v>0.10000000000000009</c:v>
                </c:pt>
              </c:numCache>
            </c:numRef>
          </c:yVal>
          <c:smooth val="0"/>
          <c:extLst>
            <c:ext xmlns:c16="http://schemas.microsoft.com/office/drawing/2014/chart" uri="{C3380CC4-5D6E-409C-BE32-E72D297353CC}">
              <c16:uniqueId val="{00000000-9E10-489A-8133-15EB9A82BDD5}"/>
            </c:ext>
          </c:extLst>
        </c:ser>
        <c:ser>
          <c:idx val="1"/>
          <c:order val="1"/>
          <c:spPr>
            <a:ln w="38100">
              <a:solidFill>
                <a:srgbClr val="FF6600"/>
              </a:solidFill>
              <a:prstDash val="solid"/>
            </a:ln>
          </c:spPr>
          <c:marker>
            <c:symbol val="none"/>
          </c:marker>
          <c:xVal>
            <c:numRef>
              <c:f>[0]!chart_parm_dates</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xVal>
          <c:yVal>
            <c:numRef>
              <c:f>[0]!chart_parm_values</c:f>
              <c:numCache>
                <c:formatCode>0%</c:formatCode>
                <c:ptCount val="11"/>
                <c:pt idx="0" formatCode="0.0%">
                  <c:v>0.5</c:v>
                </c:pt>
                <c:pt idx="1">
                  <c:v>0.5</c:v>
                </c:pt>
                <c:pt idx="2">
                  <c:v>0.5</c:v>
                </c:pt>
                <c:pt idx="3">
                  <c:v>0.3666666666666667</c:v>
                </c:pt>
                <c:pt idx="4">
                  <c:v>0.23333333333333334</c:v>
                </c:pt>
                <c:pt idx="5">
                  <c:v>9.9999999999999922E-2</c:v>
                </c:pt>
                <c:pt idx="6">
                  <c:v>9.9999999999999922E-2</c:v>
                </c:pt>
                <c:pt idx="7">
                  <c:v>9.9999999999999922E-2</c:v>
                </c:pt>
                <c:pt idx="8">
                  <c:v>9.9999999999999922E-2</c:v>
                </c:pt>
                <c:pt idx="9">
                  <c:v>9.9999999999999922E-2</c:v>
                </c:pt>
                <c:pt idx="10">
                  <c:v>9.9999999999999922E-2</c:v>
                </c:pt>
              </c:numCache>
            </c:numRef>
          </c:yVal>
          <c:smooth val="0"/>
          <c:extLst>
            <c:ext xmlns:c16="http://schemas.microsoft.com/office/drawing/2014/chart" uri="{C3380CC4-5D6E-409C-BE32-E72D297353CC}">
              <c16:uniqueId val="{00000001-9E10-489A-8133-15EB9A82BDD5}"/>
            </c:ext>
          </c:extLst>
        </c:ser>
        <c:ser>
          <c:idx val="2"/>
          <c:order val="2"/>
          <c:spPr>
            <a:ln w="38100">
              <a:solidFill>
                <a:srgbClr val="000000"/>
              </a:solidFill>
              <a:prstDash val="sysDash"/>
            </a:ln>
          </c:spPr>
          <c:marker>
            <c:symbol val="none"/>
          </c:marker>
          <c:xVal>
            <c:numRef>
              <c:f>[0]!chart_parm_dates</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xVal>
          <c:yVal>
            <c:numRef>
              <c:f>[0]!chart_phase_1_low_values</c:f>
              <c:numCache>
                <c:formatCode>0.00%</c:formatCode>
                <c:ptCount val="6"/>
                <c:pt idx="0">
                  <c:v>1.0379157174611464E-5</c:v>
                </c:pt>
                <c:pt idx="1">
                  <c:v>1.0379157174611464E-5</c:v>
                </c:pt>
                <c:pt idx="2">
                  <c:v>1.0379157174611464E-5</c:v>
                </c:pt>
                <c:pt idx="3">
                  <c:v>3.3340252771449745E-2</c:v>
                </c:pt>
                <c:pt idx="4">
                  <c:v>6.6670126385724879E-2</c:v>
                </c:pt>
                <c:pt idx="5">
                  <c:v>0.10000000000000002</c:v>
                </c:pt>
              </c:numCache>
            </c:numRef>
          </c:yVal>
          <c:smooth val="0"/>
          <c:extLst>
            <c:ext xmlns:c16="http://schemas.microsoft.com/office/drawing/2014/chart" uri="{C3380CC4-5D6E-409C-BE32-E72D297353CC}">
              <c16:uniqueId val="{00000002-9E10-489A-8133-15EB9A82BDD5}"/>
            </c:ext>
          </c:extLst>
        </c:ser>
        <c:ser>
          <c:idx val="3"/>
          <c:order val="3"/>
          <c:spPr>
            <a:ln w="38100">
              <a:solidFill>
                <a:srgbClr val="000000"/>
              </a:solidFill>
              <a:prstDash val="sysDash"/>
            </a:ln>
          </c:spPr>
          <c:marker>
            <c:symbol val="none"/>
          </c:marker>
          <c:xVal>
            <c:numRef>
              <c:f>[0]!chart_phase_2_dates</c:f>
              <c:numCache>
                <c:formatCode>General</c:formatCode>
                <c:ptCount val="1"/>
                <c:pt idx="0">
                  <c:v>2022</c:v>
                </c:pt>
              </c:numCache>
            </c:numRef>
          </c:xVal>
          <c:yVal>
            <c:numRef>
              <c:f>[0]!chart_phase_2_high_values</c:f>
              <c:numCache>
                <c:formatCode>0.00%</c:formatCode>
                <c:ptCount val="1"/>
                <c:pt idx="0">
                  <c:v>0.5</c:v>
                </c:pt>
              </c:numCache>
            </c:numRef>
          </c:yVal>
          <c:smooth val="0"/>
          <c:extLst>
            <c:ext xmlns:c16="http://schemas.microsoft.com/office/drawing/2014/chart" uri="{C3380CC4-5D6E-409C-BE32-E72D297353CC}">
              <c16:uniqueId val="{00000003-9E10-489A-8133-15EB9A82BDD5}"/>
            </c:ext>
          </c:extLst>
        </c:ser>
        <c:ser>
          <c:idx val="4"/>
          <c:order val="4"/>
          <c:spPr>
            <a:ln w="38100">
              <a:solidFill>
                <a:srgbClr val="000000"/>
              </a:solidFill>
              <a:prstDash val="sysDash"/>
            </a:ln>
          </c:spPr>
          <c:marker>
            <c:symbol val="none"/>
          </c:marker>
          <c:xVal>
            <c:numRef>
              <c:f>[0]!chart_phase_2_dates</c:f>
              <c:numCache>
                <c:formatCode>General</c:formatCode>
                <c:ptCount val="1"/>
                <c:pt idx="0">
                  <c:v>2022</c:v>
                </c:pt>
              </c:numCache>
            </c:numRef>
          </c:xVal>
          <c:yVal>
            <c:numRef>
              <c:f>[0]!chart_phase_2_low_values</c:f>
              <c:numCache>
                <c:formatCode>0.00%</c:formatCode>
                <c:ptCount val="1"/>
                <c:pt idx="0">
                  <c:v>0.5</c:v>
                </c:pt>
              </c:numCache>
            </c:numRef>
          </c:yVal>
          <c:smooth val="0"/>
          <c:extLst>
            <c:ext xmlns:c16="http://schemas.microsoft.com/office/drawing/2014/chart" uri="{C3380CC4-5D6E-409C-BE32-E72D297353CC}">
              <c16:uniqueId val="{00000004-9E10-489A-8133-15EB9A82BDD5}"/>
            </c:ext>
          </c:extLst>
        </c:ser>
        <c:dLbls>
          <c:showLegendKey val="0"/>
          <c:showVal val="0"/>
          <c:showCatName val="0"/>
          <c:showSerName val="0"/>
          <c:showPercent val="0"/>
          <c:showBubbleSize val="0"/>
        </c:dLbls>
        <c:axId val="387942664"/>
        <c:axId val="1"/>
      </c:scatterChart>
      <c:valAx>
        <c:axId val="387942664"/>
        <c:scaling>
          <c:orientation val="minMax"/>
        </c:scaling>
        <c:delete val="0"/>
        <c:axPos val="b"/>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crossBetween val="midCat"/>
        <c:majorUnit val="1"/>
      </c:valAx>
      <c:valAx>
        <c:axId val="1"/>
        <c:scaling>
          <c:orientation val="minMax"/>
        </c:scaling>
        <c:delete val="0"/>
        <c:axPos val="l"/>
        <c:majorGridlines>
          <c:spPr>
            <a:ln w="3175">
              <a:solidFill>
                <a:srgbClr val="969696"/>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87942664"/>
        <c:crosses val="autoZero"/>
        <c:crossBetween val="midCat"/>
      </c:valAx>
      <c:spPr>
        <a:solidFill>
          <a:srgbClr val="FFFFCC"/>
        </a:solidFill>
        <a:ln w="12700">
          <a:solidFill>
            <a:srgbClr val="808080"/>
          </a:solidFill>
          <a:prstDash val="solid"/>
        </a:ln>
      </c:spPr>
    </c:plotArea>
    <c:plotVisOnly val="1"/>
    <c:dispBlanksAs val="gap"/>
    <c:showDLblsOverMax val="0"/>
  </c:chart>
  <c:spPr>
    <a:solidFill>
      <a:srgbClr val="CCCC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Charts!$B$107</c:f>
          <c:strCache>
            <c:ptCount val="1"/>
            <c:pt idx="0">
              <c:v>Free cash flow (in base year) as function of debt / equity ratio</c:v>
            </c:pt>
          </c:strCache>
        </c:strRef>
      </c:tx>
      <c:layout>
        <c:manualLayout>
          <c:xMode val="edge"/>
          <c:yMode val="edge"/>
          <c:x val="0.12946452005999248"/>
          <c:y val="1.5432147227930819E-2"/>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1607155507938394"/>
          <c:y val="0.12903225806451613"/>
          <c:w val="0.83035804787559275"/>
          <c:h val="0.56011730205278587"/>
        </c:manualLayout>
      </c:layout>
      <c:lineChart>
        <c:grouping val="standard"/>
        <c:varyColors val="0"/>
        <c:ser>
          <c:idx val="0"/>
          <c:order val="0"/>
          <c:tx>
            <c:strRef>
              <c:f>Main!$B$89</c:f>
              <c:strCache>
                <c:ptCount val="1"/>
                <c:pt idx="0">
                  <c:v>Free cash flow to the firm</c:v>
                </c:pt>
              </c:strCache>
            </c:strRef>
          </c:tx>
          <c:spPr>
            <a:ln w="38100">
              <a:solidFill>
                <a:srgbClr val="000080"/>
              </a:solidFill>
              <a:prstDash val="solid"/>
            </a:ln>
          </c:spPr>
          <c:marker>
            <c:symbol val="none"/>
          </c:marker>
          <c:cat>
            <c:numRef>
              <c:f>[0]!assumptions_vary_x_axis</c:f>
              <c:numCache>
                <c:formatCode>0%</c:formatCode>
                <c:ptCount val="12"/>
                <c:pt idx="0">
                  <c:v>1.0379157174611464E-5</c:v>
                </c:pt>
                <c:pt idx="1">
                  <c:v>0.10001037915753841</c:v>
                </c:pt>
                <c:pt idx="2">
                  <c:v>0.20001037915790221</c:v>
                </c:pt>
                <c:pt idx="3">
                  <c:v>0.30001037915826601</c:v>
                </c:pt>
                <c:pt idx="4">
                  <c:v>0.4000103791586298</c:v>
                </c:pt>
                <c:pt idx="5">
                  <c:v>0.5000103791589936</c:v>
                </c:pt>
                <c:pt idx="6">
                  <c:v>0.6000103791593574</c:v>
                </c:pt>
                <c:pt idx="7">
                  <c:v>0.7000103791597212</c:v>
                </c:pt>
                <c:pt idx="8">
                  <c:v>0.80001037916008499</c:v>
                </c:pt>
                <c:pt idx="9">
                  <c:v>0.90001037916044879</c:v>
                </c:pt>
                <c:pt idx="10">
                  <c:v>1.0000103791608126</c:v>
                </c:pt>
                <c:pt idx="11">
                  <c:v>1.1000103791611764</c:v>
                </c:pt>
              </c:numCache>
            </c:numRef>
          </c:cat>
          <c:val>
            <c:numRef>
              <c:f>[0]!row_fcff_data</c:f>
              <c:numCache>
                <c:formatCode>General</c:formatCode>
                <c:ptCount val="12"/>
                <c:pt idx="0">
                  <c:v>8.3999999999999986</c:v>
                </c:pt>
                <c:pt idx="1">
                  <c:v>8.4000000000009951</c:v>
                </c:pt>
                <c:pt idx="2">
                  <c:v>8.400000000001997</c:v>
                </c:pt>
                <c:pt idx="3">
                  <c:v>8.4000000000029988</c:v>
                </c:pt>
                <c:pt idx="4">
                  <c:v>8.4000000000039972</c:v>
                </c:pt>
                <c:pt idx="5">
                  <c:v>8.400000000004999</c:v>
                </c:pt>
                <c:pt idx="6">
                  <c:v>8.4000000000059991</c:v>
                </c:pt>
                <c:pt idx="7">
                  <c:v>8.4000000000069992</c:v>
                </c:pt>
                <c:pt idx="8">
                  <c:v>8.4000000000079975</c:v>
                </c:pt>
                <c:pt idx="9">
                  <c:v>8.4000000000089994</c:v>
                </c:pt>
                <c:pt idx="10">
                  <c:v>8.4000000000099995</c:v>
                </c:pt>
                <c:pt idx="11">
                  <c:v>8.4000000000109996</c:v>
                </c:pt>
              </c:numCache>
            </c:numRef>
          </c:val>
          <c:smooth val="1"/>
          <c:extLst>
            <c:ext xmlns:c16="http://schemas.microsoft.com/office/drawing/2014/chart" uri="{C3380CC4-5D6E-409C-BE32-E72D297353CC}">
              <c16:uniqueId val="{00000000-C9CA-402F-898C-EDA50AD2E846}"/>
            </c:ext>
          </c:extLst>
        </c:ser>
        <c:ser>
          <c:idx val="1"/>
          <c:order val="1"/>
          <c:tx>
            <c:strRef>
              <c:f>Main!$B$87</c:f>
              <c:strCache>
                <c:ptCount val="1"/>
                <c:pt idx="0">
                  <c:v>Free cash flow to equity</c:v>
                </c:pt>
              </c:strCache>
            </c:strRef>
          </c:tx>
          <c:spPr>
            <a:ln w="38100">
              <a:solidFill>
                <a:srgbClr val="FF00FF"/>
              </a:solidFill>
              <a:prstDash val="solid"/>
            </a:ln>
          </c:spPr>
          <c:marker>
            <c:symbol val="none"/>
          </c:marker>
          <c:cat>
            <c:numRef>
              <c:f>[0]!assumptions_vary_x_axis</c:f>
              <c:numCache>
                <c:formatCode>0%</c:formatCode>
                <c:ptCount val="12"/>
                <c:pt idx="0">
                  <c:v>1.0379157174611464E-5</c:v>
                </c:pt>
                <c:pt idx="1">
                  <c:v>0.10001037915753841</c:v>
                </c:pt>
                <c:pt idx="2">
                  <c:v>0.20001037915790221</c:v>
                </c:pt>
                <c:pt idx="3">
                  <c:v>0.30001037915826601</c:v>
                </c:pt>
                <c:pt idx="4">
                  <c:v>0.4000103791586298</c:v>
                </c:pt>
                <c:pt idx="5">
                  <c:v>0.5000103791589936</c:v>
                </c:pt>
                <c:pt idx="6">
                  <c:v>0.6000103791593574</c:v>
                </c:pt>
                <c:pt idx="7">
                  <c:v>0.7000103791597212</c:v>
                </c:pt>
                <c:pt idx="8">
                  <c:v>0.80001037916008499</c:v>
                </c:pt>
                <c:pt idx="9">
                  <c:v>0.90001037916044879</c:v>
                </c:pt>
                <c:pt idx="10">
                  <c:v>1.0000103791608126</c:v>
                </c:pt>
                <c:pt idx="11">
                  <c:v>1.1000103791611764</c:v>
                </c:pt>
              </c:numCache>
            </c:numRef>
          </c:cat>
          <c:val>
            <c:numRef>
              <c:f>[0]!row_fcfe_data</c:f>
              <c:numCache>
                <c:formatCode>General</c:formatCode>
                <c:ptCount val="12"/>
                <c:pt idx="0">
                  <c:v>8.4000274006905435</c:v>
                </c:pt>
                <c:pt idx="1">
                  <c:v>8.6400226452219506</c:v>
                </c:pt>
                <c:pt idx="2">
                  <c:v>8.8400189777911375</c:v>
                </c:pt>
                <c:pt idx="3">
                  <c:v>9.0092327303088169</c:v>
                </c:pt>
                <c:pt idx="4">
                  <c:v>9.1540471104942167</c:v>
                </c:pt>
                <c:pt idx="5">
                  <c:v>9.2785456820095646</c:v>
                </c:pt>
                <c:pt idx="6">
                  <c:v>9.385134384422777</c:v>
                </c:pt>
                <c:pt idx="7">
                  <c:v>9.4752410752556067</c:v>
                </c:pt>
                <c:pt idx="8">
                  <c:v>9.5497079001385679</c:v>
                </c:pt>
                <c:pt idx="9">
                  <c:v>9.6088621877255527</c:v>
                </c:pt>
                <c:pt idx="10">
                  <c:v>9.6522707492911159</c:v>
                </c:pt>
                <c:pt idx="11">
                  <c:v>9.6778605176477743</c:v>
                </c:pt>
              </c:numCache>
            </c:numRef>
          </c:val>
          <c:smooth val="1"/>
          <c:extLst>
            <c:ext xmlns:c16="http://schemas.microsoft.com/office/drawing/2014/chart" uri="{C3380CC4-5D6E-409C-BE32-E72D297353CC}">
              <c16:uniqueId val="{00000001-C9CA-402F-898C-EDA50AD2E846}"/>
            </c:ext>
          </c:extLst>
        </c:ser>
        <c:dLbls>
          <c:showLegendKey val="0"/>
          <c:showVal val="0"/>
          <c:showCatName val="0"/>
          <c:showSerName val="0"/>
          <c:showPercent val="0"/>
          <c:showBubbleSize val="0"/>
        </c:dLbls>
        <c:smooth val="0"/>
        <c:axId val="387944632"/>
        <c:axId val="1"/>
      </c:lineChart>
      <c:catAx>
        <c:axId val="387944632"/>
        <c:scaling>
          <c:orientation val="minMax"/>
        </c:scaling>
        <c:delete val="0"/>
        <c:axPos val="b"/>
        <c:majorGridlines>
          <c:spPr>
            <a:ln w="3175">
              <a:solidFill>
                <a:srgbClr val="C0C0C0"/>
              </a:solidFill>
              <a:prstDash val="sysDash"/>
            </a:ln>
          </c:spPr>
        </c:majorGridlines>
        <c:title>
          <c:tx>
            <c:strRef>
              <c:f>'Assumptions vary'!$F$185</c:f>
              <c:strCache>
                <c:ptCount val="1"/>
                <c:pt idx="0">
                  <c:v>Debt / equity ratio</c:v>
                </c:pt>
              </c:strCache>
            </c:strRef>
          </c:tx>
          <c:layout>
            <c:manualLayout>
              <c:xMode val="edge"/>
              <c:yMode val="edge"/>
              <c:x val="0.4330357142857143"/>
              <c:y val="0.83333348727303524"/>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en-US"/>
            </a:p>
          </c:tx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87944632"/>
        <c:crosses val="autoZero"/>
        <c:crossBetween val="midCat"/>
      </c:valAx>
      <c:spPr>
        <a:solidFill>
          <a:srgbClr val="FFFFCC"/>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CCCC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817518248175188E-2"/>
          <c:y val="5.2117263843648211E-2"/>
          <c:w val="0.88686131386861311"/>
          <c:h val="0.60912052117263848"/>
        </c:manualLayout>
      </c:layout>
      <c:lineChart>
        <c:grouping val="standard"/>
        <c:varyColors val="0"/>
        <c:ser>
          <c:idx val="0"/>
          <c:order val="0"/>
          <c:tx>
            <c:strRef>
              <c:f>'Assumptions vary'!$C$93</c:f>
              <c:strCache>
                <c:ptCount val="1"/>
                <c:pt idx="0">
                  <c:v>EVA due to assets in place</c:v>
                </c:pt>
              </c:strCache>
            </c:strRef>
          </c:tx>
          <c:spPr>
            <a:ln w="38100">
              <a:solidFill>
                <a:srgbClr val="000080"/>
              </a:solidFill>
              <a:prstDash val="solid"/>
            </a:ln>
          </c:spPr>
          <c:marker>
            <c:symbol val="none"/>
          </c:marker>
          <c:cat>
            <c:numRef>
              <c:f>Charts!$B$69:$B$80</c:f>
              <c:numCache>
                <c:formatCode>0%</c:formatCode>
                <c:ptCount val="12"/>
                <c:pt idx="0">
                  <c:v>1.0379157174611464E-5</c:v>
                </c:pt>
                <c:pt idx="1">
                  <c:v>0.10001037915753841</c:v>
                </c:pt>
                <c:pt idx="2">
                  <c:v>0.20001037915790221</c:v>
                </c:pt>
                <c:pt idx="3">
                  <c:v>0.30001037915826601</c:v>
                </c:pt>
                <c:pt idx="4">
                  <c:v>0.4000103791586298</c:v>
                </c:pt>
                <c:pt idx="5">
                  <c:v>0.5000103791589936</c:v>
                </c:pt>
                <c:pt idx="6">
                  <c:v>0.6000103791593574</c:v>
                </c:pt>
                <c:pt idx="7">
                  <c:v>0.7000103791597212</c:v>
                </c:pt>
                <c:pt idx="8">
                  <c:v>0.80001037916008499</c:v>
                </c:pt>
                <c:pt idx="9">
                  <c:v>0.90001037916044879</c:v>
                </c:pt>
                <c:pt idx="10">
                  <c:v>1.0000103791608126</c:v>
                </c:pt>
                <c:pt idx="11">
                  <c:v>1.1000103791611764</c:v>
                </c:pt>
              </c:numCache>
            </c:numRef>
          </c:cat>
          <c:val>
            <c:numRef>
              <c:f>[0]!custom_1_data</c:f>
              <c:numCache>
                <c:formatCode>General</c:formatCode>
                <c:ptCount val="12"/>
                <c:pt idx="0">
                  <c:v>-1.3075025257660611</c:v>
                </c:pt>
                <c:pt idx="1">
                  <c:v>-0.18802840609371346</c:v>
                </c:pt>
                <c:pt idx="2">
                  <c:v>0.75972956290722815</c:v>
                </c:pt>
                <c:pt idx="3">
                  <c:v>1.5736982571360203</c:v>
                </c:pt>
                <c:pt idx="4">
                  <c:v>2.2812377424832428</c:v>
                </c:pt>
                <c:pt idx="5">
                  <c:v>2.9026096124379586</c:v>
                </c:pt>
                <c:pt idx="6">
                  <c:v>3.4531574689824054</c:v>
                </c:pt>
                <c:pt idx="7">
                  <c:v>3.9447264270656315</c:v>
                </c:pt>
                <c:pt idx="8">
                  <c:v>4.3866153488370969</c:v>
                </c:pt>
                <c:pt idx="9">
                  <c:v>4.7862324836153896</c:v>
                </c:pt>
                <c:pt idx="10">
                  <c:v>5.1495573286105181</c:v>
                </c:pt>
                <c:pt idx="11">
                  <c:v>5.4814726249223966</c:v>
                </c:pt>
              </c:numCache>
            </c:numRef>
          </c:val>
          <c:smooth val="0"/>
          <c:extLst>
            <c:ext xmlns:c16="http://schemas.microsoft.com/office/drawing/2014/chart" uri="{C3380CC4-5D6E-409C-BE32-E72D297353CC}">
              <c16:uniqueId val="{00000000-073B-45C2-92B5-13CB036C024A}"/>
            </c:ext>
          </c:extLst>
        </c:ser>
        <c:ser>
          <c:idx val="1"/>
          <c:order val="1"/>
          <c:tx>
            <c:strRef>
              <c:f>'Assumptions vary'!$C$94</c:f>
              <c:strCache>
                <c:ptCount val="1"/>
                <c:pt idx="0">
                  <c:v>EVA due to growth assets</c:v>
                </c:pt>
              </c:strCache>
            </c:strRef>
          </c:tx>
          <c:spPr>
            <a:ln w="38100">
              <a:solidFill>
                <a:srgbClr val="FF00FF"/>
              </a:solidFill>
              <a:prstDash val="solid"/>
            </a:ln>
          </c:spPr>
          <c:marker>
            <c:symbol val="none"/>
          </c:marker>
          <c:val>
            <c:numRef>
              <c:f>[0]!custom_2_data</c:f>
              <c:numCache>
                <c:formatCode>General</c:formatCode>
                <c:ptCount val="12"/>
                <c:pt idx="0">
                  <c:v>-2.1962684749218999</c:v>
                </c:pt>
                <c:pt idx="1">
                  <c:v>-2.1369463819161352</c:v>
                </c:pt>
                <c:pt idx="2">
                  <c:v>-2.0844273684068706</c:v>
                </c:pt>
                <c:pt idx="3">
                  <c:v>-2.0375163714424751</c:v>
                </c:pt>
                <c:pt idx="4">
                  <c:v>-1.9952938684826576</c:v>
                </c:pt>
                <c:pt idx="5">
                  <c:v>-1.9570392598203994</c:v>
                </c:pt>
                <c:pt idx="6">
                  <c:v>-1.9221786697170233</c:v>
                </c:pt>
                <c:pt idx="7">
                  <c:v>-1.8902485369487749</c:v>
                </c:pt>
                <c:pt idx="8">
                  <c:v>-1.8608696690694668</c:v>
                </c:pt>
                <c:pt idx="9">
                  <c:v>-1.8337283919336136</c:v>
                </c:pt>
                <c:pt idx="10">
                  <c:v>-1.8085626128231036</c:v>
                </c:pt>
                <c:pt idx="11">
                  <c:v>-1.7851513524023437</c:v>
                </c:pt>
              </c:numCache>
            </c:numRef>
          </c:val>
          <c:smooth val="0"/>
          <c:extLst>
            <c:ext xmlns:c16="http://schemas.microsoft.com/office/drawing/2014/chart" uri="{C3380CC4-5D6E-409C-BE32-E72D297353CC}">
              <c16:uniqueId val="{00000001-073B-45C2-92B5-13CB036C024A}"/>
            </c:ext>
          </c:extLst>
        </c:ser>
        <c:ser>
          <c:idx val="2"/>
          <c:order val="2"/>
          <c:tx>
            <c:strRef>
              <c:f>'Assumptions vary'!$C$95</c:f>
              <c:strCache>
                <c:ptCount val="1"/>
                <c:pt idx="0">
                  <c:v>Economic value added (EVA)</c:v>
                </c:pt>
              </c:strCache>
            </c:strRef>
          </c:tx>
          <c:spPr>
            <a:ln w="38100">
              <a:solidFill>
                <a:srgbClr val="008080"/>
              </a:solidFill>
              <a:prstDash val="solid"/>
            </a:ln>
          </c:spPr>
          <c:marker>
            <c:symbol val="none"/>
          </c:marker>
          <c:val>
            <c:numRef>
              <c:f>[0]!custom_3_data</c:f>
              <c:numCache>
                <c:formatCode>General</c:formatCode>
                <c:ptCount val="12"/>
                <c:pt idx="0">
                  <c:v>-3.5037710006879612</c:v>
                </c:pt>
                <c:pt idx="1">
                  <c:v>-2.3249747880108487</c:v>
                </c:pt>
                <c:pt idx="2">
                  <c:v>-1.3246978055016425</c:v>
                </c:pt>
                <c:pt idx="3">
                  <c:v>-0.46381811430945519</c:v>
                </c:pt>
                <c:pt idx="4">
                  <c:v>0.28594387399658538</c:v>
                </c:pt>
                <c:pt idx="5">
                  <c:v>0.94557035261255939</c:v>
                </c:pt>
                <c:pt idx="6">
                  <c:v>1.530978799259382</c:v>
                </c:pt>
                <c:pt idx="7">
                  <c:v>2.0544778901098564</c:v>
                </c:pt>
                <c:pt idx="8">
                  <c:v>2.5257456797596305</c:v>
                </c:pt>
                <c:pt idx="9">
                  <c:v>2.9525040916727758</c:v>
                </c:pt>
                <c:pt idx="10">
                  <c:v>3.3409947157774145</c:v>
                </c:pt>
                <c:pt idx="11">
                  <c:v>3.6963212725090528</c:v>
                </c:pt>
              </c:numCache>
            </c:numRef>
          </c:val>
          <c:smooth val="0"/>
          <c:extLst>
            <c:ext xmlns:c16="http://schemas.microsoft.com/office/drawing/2014/chart" uri="{C3380CC4-5D6E-409C-BE32-E72D297353CC}">
              <c16:uniqueId val="{00000002-073B-45C2-92B5-13CB036C024A}"/>
            </c:ext>
          </c:extLst>
        </c:ser>
        <c:dLbls>
          <c:showLegendKey val="0"/>
          <c:showVal val="0"/>
          <c:showCatName val="0"/>
          <c:showSerName val="0"/>
          <c:showPercent val="0"/>
          <c:showBubbleSize val="0"/>
        </c:dLbls>
        <c:smooth val="0"/>
        <c:axId val="388467488"/>
        <c:axId val="1"/>
      </c:lineChart>
      <c:catAx>
        <c:axId val="388467488"/>
        <c:scaling>
          <c:orientation val="minMax"/>
        </c:scaling>
        <c:delete val="0"/>
        <c:axPos val="b"/>
        <c:majorGridlines>
          <c:spPr>
            <a:ln w="3175">
              <a:solidFill>
                <a:srgbClr val="C0C0C0"/>
              </a:solidFill>
              <a:prstDash val="sysDash"/>
            </a:ln>
          </c:spPr>
        </c:majorGridlines>
        <c:title>
          <c:tx>
            <c:strRef>
              <c:f>'Assumptions vary'!$F$185</c:f>
              <c:strCache>
                <c:ptCount val="1"/>
                <c:pt idx="0">
                  <c:v>Debt / equity ratio</c:v>
                </c:pt>
              </c:strCache>
            </c:strRef>
          </c:tx>
          <c:layout>
            <c:manualLayout>
              <c:xMode val="edge"/>
              <c:yMode val="edge"/>
              <c:x val="0.42700729927007297"/>
              <c:y val="0.72964169381107491"/>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en-US"/>
            </a:p>
          </c:tx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88467488"/>
        <c:crosses val="autoZero"/>
        <c:crossBetween val="midCat"/>
      </c:valAx>
      <c:spPr>
        <a:solidFill>
          <a:srgbClr val="FFFFCC"/>
        </a:solidFill>
        <a:ln w="12700">
          <a:solidFill>
            <a:srgbClr val="808080"/>
          </a:solidFill>
          <a:prstDash val="solid"/>
        </a:ln>
      </c:spPr>
    </c:plotArea>
    <c:legend>
      <c:legendPos val="r"/>
      <c:layout>
        <c:manualLayout>
          <c:xMode val="edge"/>
          <c:yMode val="edge"/>
          <c:x val="0.17944311929415047"/>
          <c:y val="0.74183065722549113"/>
          <c:w val="0.65853882614746484"/>
          <c:h val="0.23856228183903461"/>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CCCC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Sensitivities!$H$8</c:f>
          <c:strCache>
            <c:ptCount val="1"/>
          </c:strCache>
        </c:strRef>
      </c:tx>
      <c:layout>
        <c:manualLayout>
          <c:xMode val="edge"/>
          <c:yMode val="edge"/>
          <c:x val="0.28409090909090912"/>
          <c:y val="1.2145748987854251E-2"/>
        </c:manualLayout>
      </c:layout>
      <c:overlay val="0"/>
      <c:spPr>
        <a:noFill/>
        <a:ln w="25400">
          <a:noFill/>
        </a:ln>
      </c:spPr>
      <c:txPr>
        <a:bodyPr/>
        <a:lstStyle/>
        <a:p>
          <a:pPr>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7.1022727272727279E-2"/>
          <c:y val="6.0728744939271252E-2"/>
          <c:w val="0.91619318181818177"/>
          <c:h val="0.8441295546558704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cat>
            <c:strRef>
              <c:f>Charts!$B$84:$B$102</c:f>
              <c:strCache>
                <c:ptCount val="19"/>
                <c:pt idx="0">
                  <c:v>Initial return on capital</c:v>
                </c:pt>
                <c:pt idx="1">
                  <c:v>Initial debt / equity ratio</c:v>
                </c:pt>
                <c:pt idx="2">
                  <c:v>Initial depreciation rate</c:v>
                </c:pt>
                <c:pt idx="3">
                  <c:v>Initial tax rate</c:v>
                </c:pt>
                <c:pt idx="4">
                  <c:v>Initial risk free rate</c:v>
                </c:pt>
                <c:pt idx="5">
                  <c:v>Initial equity margin</c:v>
                </c:pt>
                <c:pt idx="6">
                  <c:v>Initial growth rate</c:v>
                </c:pt>
                <c:pt idx="7">
                  <c:v>Terminal return on capital</c:v>
                </c:pt>
                <c:pt idx="8">
                  <c:v>Terminal debt / equity ratio</c:v>
                </c:pt>
                <c:pt idx="9">
                  <c:v>Terminal depreciation rate</c:v>
                </c:pt>
                <c:pt idx="10">
                  <c:v>Terminal tax rate</c:v>
                </c:pt>
                <c:pt idx="11">
                  <c:v>Terminal risk free rate</c:v>
                </c:pt>
                <c:pt idx="12">
                  <c:v>Terminal equity margin</c:v>
                </c:pt>
                <c:pt idx="13">
                  <c:v>Terminal growth rate</c:v>
                </c:pt>
                <c:pt idx="14">
                  <c:v>Coverage ratio 7.5 interest margin</c:v>
                </c:pt>
                <c:pt idx="15">
                  <c:v>Coverage ratio 6 interest margin</c:v>
                </c:pt>
                <c:pt idx="16">
                  <c:v>Coverage ratio 4.5 interest margin</c:v>
                </c:pt>
                <c:pt idx="17">
                  <c:v>Coverage ratio 3 interest margin</c:v>
                </c:pt>
                <c:pt idx="18">
                  <c:v>Coverage ratio 1.5 interest margin</c:v>
                </c:pt>
              </c:strCache>
            </c:strRef>
          </c:cat>
          <c:val>
            <c:numRef>
              <c:f>Charts!$D$84:$D$102</c:f>
              <c:numCache>
                <c:formatCode>General</c:formatCode>
                <c:ptCount val="19"/>
                <c:pt idx="0">
                  <c:v>-0.30139126871155231</c:v>
                </c:pt>
                <c:pt idx="1">
                  <c:v>-2.60086957813499E-2</c:v>
                </c:pt>
                <c:pt idx="2">
                  <c:v>0.23460478219157643</c:v>
                </c:pt>
                <c:pt idx="3">
                  <c:v>5.3355533852103676E-2</c:v>
                </c:pt>
                <c:pt idx="4">
                  <c:v>4.3938095761069107E-3</c:v>
                </c:pt>
                <c:pt idx="5">
                  <c:v>-7.1917027983961823E-2</c:v>
                </c:pt>
                <c:pt idx="6">
                  <c:v>-6.0350495457663911E-3</c:v>
                </c:pt>
                <c:pt idx="7">
                  <c:v>0.76929352450868382</c:v>
                </c:pt>
                <c:pt idx="8">
                  <c:v>1.2539900424592076E-2</c:v>
                </c:pt>
                <c:pt idx="9">
                  <c:v>-0.56804565315969846</c:v>
                </c:pt>
                <c:pt idx="10">
                  <c:v>-0.10488899314077837</c:v>
                </c:pt>
                <c:pt idx="11">
                  <c:v>-0.76647990583312886</c:v>
                </c:pt>
                <c:pt idx="12">
                  <c:v>-0.79998564331910682</c:v>
                </c:pt>
                <c:pt idx="13">
                  <c:v>-8.6876667290312071E-2</c:v>
                </c:pt>
                <c:pt idx="14">
                  <c:v>2.1104970279406388E-4</c:v>
                </c:pt>
                <c:pt idx="15">
                  <c:v>0</c:v>
                </c:pt>
                <c:pt idx="16">
                  <c:v>0</c:v>
                </c:pt>
                <c:pt idx="17">
                  <c:v>0</c:v>
                </c:pt>
                <c:pt idx="18">
                  <c:v>0</c:v>
                </c:pt>
              </c:numCache>
            </c:numRef>
          </c:val>
          <c:extLst>
            <c:ext xmlns:c16="http://schemas.microsoft.com/office/drawing/2014/chart" uri="{C3380CC4-5D6E-409C-BE32-E72D297353CC}">
              <c16:uniqueId val="{00000000-1244-49FB-B95A-90A75A8DF1A2}"/>
            </c:ext>
          </c:extLst>
        </c:ser>
        <c:dLbls>
          <c:showLegendKey val="0"/>
          <c:showVal val="0"/>
          <c:showCatName val="0"/>
          <c:showSerName val="0"/>
          <c:showPercent val="0"/>
          <c:showBubbleSize val="0"/>
        </c:dLbls>
        <c:gapWidth val="40"/>
        <c:overlap val="-50"/>
        <c:axId val="388465848"/>
        <c:axId val="1"/>
      </c:barChart>
      <c:catAx>
        <c:axId val="388465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88465848"/>
        <c:crosses val="autoZero"/>
        <c:crossBetween val="between"/>
      </c:valAx>
      <c:spPr>
        <a:solidFill>
          <a:srgbClr val="FFFFCC"/>
        </a:solidFill>
        <a:ln w="12700">
          <a:solidFill>
            <a:srgbClr val="808080"/>
          </a:solidFill>
          <a:prstDash val="solid"/>
        </a:ln>
      </c:spPr>
    </c:plotArea>
    <c:plotVisOnly val="1"/>
    <c:dispBlanksAs val="gap"/>
    <c:showDLblsOverMax val="0"/>
  </c:chart>
  <c:spPr>
    <a:solidFill>
      <a:srgbClr val="CCCC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027877854881887E-2"/>
          <c:y val="6.3569758043816427E-2"/>
          <c:w val="0.89757096620511578"/>
          <c:h val="0.49633311088056675"/>
        </c:manualLayout>
      </c:layout>
      <c:barChart>
        <c:barDir val="col"/>
        <c:grouping val="stacked"/>
        <c:varyColors val="0"/>
        <c:ser>
          <c:idx val="0"/>
          <c:order val="0"/>
          <c:spPr>
            <a:noFill/>
            <a:ln w="25400">
              <a:noFill/>
            </a:ln>
          </c:spPr>
          <c:invertIfNegative val="0"/>
          <c:cat>
            <c:strRef>
              <c:f>[0]!chart_attrib_x</c:f>
              <c:strCache>
                <c:ptCount val="10"/>
                <c:pt idx="1">
                  <c:v>Scenario 1</c:v>
                </c:pt>
                <c:pt idx="2">
                  <c:v>Initial return on capital</c:v>
                </c:pt>
                <c:pt idx="3">
                  <c:v>Initial debt / equity ratio</c:v>
                </c:pt>
                <c:pt idx="4">
                  <c:v>Initial tax rate</c:v>
                </c:pt>
                <c:pt idx="5">
                  <c:v>Initial growth rate</c:v>
                </c:pt>
                <c:pt idx="6">
                  <c:v>Terminal debt / equity ratio</c:v>
                </c:pt>
                <c:pt idx="7">
                  <c:v>Terminal tax rate</c:v>
                </c:pt>
                <c:pt idx="8">
                  <c:v>Terminal risk free rate</c:v>
                </c:pt>
                <c:pt idx="9">
                  <c:v>Scenario 2</c:v>
                </c:pt>
              </c:strCache>
            </c:strRef>
          </c:cat>
          <c:val>
            <c:numRef>
              <c:f>[0]!chart_attrib_series_1</c:f>
              <c:numCache>
                <c:formatCode>General</c:formatCode>
                <c:ptCount val="11"/>
                <c:pt idx="1">
                  <c:v>0</c:v>
                </c:pt>
                <c:pt idx="2">
                  <c:v>79.330444471840309</c:v>
                </c:pt>
                <c:pt idx="3">
                  <c:v>62.034288520886015</c:v>
                </c:pt>
                <c:pt idx="4">
                  <c:v>62.034288520886015</c:v>
                </c:pt>
                <c:pt idx="5">
                  <c:v>60.997122695965736</c:v>
                </c:pt>
                <c:pt idx="6">
                  <c:v>60.997122695965736</c:v>
                </c:pt>
                <c:pt idx="7">
                  <c:v>72.251289759368177</c:v>
                </c:pt>
                <c:pt idx="8">
                  <c:v>67.222852293098171</c:v>
                </c:pt>
                <c:pt idx="9">
                  <c:v>0</c:v>
                </c:pt>
                <c:pt idx="10">
                  <c:v>0</c:v>
                </c:pt>
              </c:numCache>
            </c:numRef>
          </c:val>
          <c:extLst>
            <c:ext xmlns:c16="http://schemas.microsoft.com/office/drawing/2014/chart" uri="{C3380CC4-5D6E-409C-BE32-E72D297353CC}">
              <c16:uniqueId val="{00000000-95DD-43FF-95F8-07EB790F51F4}"/>
            </c:ext>
          </c:extLst>
        </c:ser>
        <c:ser>
          <c:idx val="2"/>
          <c:order val="1"/>
          <c:spPr>
            <a:noFill/>
            <a:ln w="25400">
              <a:noFill/>
            </a:ln>
          </c:spPr>
          <c:invertIfNegative val="0"/>
          <c:cat>
            <c:strRef>
              <c:f>[0]!chart_attrib_x</c:f>
              <c:strCache>
                <c:ptCount val="10"/>
                <c:pt idx="1">
                  <c:v>Scenario 1</c:v>
                </c:pt>
                <c:pt idx="2">
                  <c:v>Initial return on capital</c:v>
                </c:pt>
                <c:pt idx="3">
                  <c:v>Initial debt / equity ratio</c:v>
                </c:pt>
                <c:pt idx="4">
                  <c:v>Initial tax rate</c:v>
                </c:pt>
                <c:pt idx="5">
                  <c:v>Initial growth rate</c:v>
                </c:pt>
                <c:pt idx="6">
                  <c:v>Terminal debt / equity ratio</c:v>
                </c:pt>
                <c:pt idx="7">
                  <c:v>Terminal tax rate</c:v>
                </c:pt>
                <c:pt idx="8">
                  <c:v>Terminal risk free rate</c:v>
                </c:pt>
                <c:pt idx="9">
                  <c:v>Scenario 2</c:v>
                </c:pt>
              </c:strCache>
            </c:strRef>
          </c:cat>
          <c:val>
            <c:numRef>
              <c:f>[0]!chart_attrib_series_3</c:f>
              <c:numCache>
                <c:formatCode>General</c:formatCode>
                <c:ptCount val="11"/>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95DD-43FF-95F8-07EB790F51F4}"/>
            </c:ext>
          </c:extLst>
        </c:ser>
        <c:ser>
          <c:idx val="1"/>
          <c:order val="2"/>
          <c:spPr>
            <a:gradFill rotWithShape="0">
              <a:gsLst>
                <a:gs pos="0">
                  <a:srgbClr val="333399"/>
                </a:gs>
                <a:gs pos="50000">
                  <a:srgbClr val="FFFFFF"/>
                </a:gs>
                <a:gs pos="100000">
                  <a:srgbClr val="333399"/>
                </a:gs>
              </a:gsLst>
              <a:lin ang="0" scaled="1"/>
            </a:gradFill>
            <a:ln w="25400">
              <a:noFill/>
            </a:ln>
          </c:spPr>
          <c:invertIfNegative val="0"/>
          <c:cat>
            <c:strRef>
              <c:f>[0]!chart_attrib_x</c:f>
              <c:strCache>
                <c:ptCount val="10"/>
                <c:pt idx="1">
                  <c:v>Scenario 1</c:v>
                </c:pt>
                <c:pt idx="2">
                  <c:v>Initial return on capital</c:v>
                </c:pt>
                <c:pt idx="3">
                  <c:v>Initial debt / equity ratio</c:v>
                </c:pt>
                <c:pt idx="4">
                  <c:v>Initial tax rate</c:v>
                </c:pt>
                <c:pt idx="5">
                  <c:v>Initial growth rate</c:v>
                </c:pt>
                <c:pt idx="6">
                  <c:v>Terminal debt / equity ratio</c:v>
                </c:pt>
                <c:pt idx="7">
                  <c:v>Terminal tax rate</c:v>
                </c:pt>
                <c:pt idx="8">
                  <c:v>Terminal risk free rate</c:v>
                </c:pt>
                <c:pt idx="9">
                  <c:v>Scenario 2</c:v>
                </c:pt>
              </c:strCache>
            </c:strRef>
          </c:cat>
          <c:val>
            <c:numRef>
              <c:f>[0]!chart_attrib_series_2</c:f>
              <c:numCache>
                <c:formatCode>General</c:formatCode>
                <c:ptCount val="11"/>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95DD-43FF-95F8-07EB790F51F4}"/>
            </c:ext>
          </c:extLst>
        </c:ser>
        <c:ser>
          <c:idx val="3"/>
          <c:order val="3"/>
          <c:tx>
            <c:strRef>
              <c:f>[0]!chart_attrib_x</c:f>
              <c:strCache>
                <c:ptCount val="11"/>
                <c:pt idx="1">
                  <c:v>Scenario 1</c:v>
                </c:pt>
                <c:pt idx="2">
                  <c:v>Initial return on capital</c:v>
                </c:pt>
                <c:pt idx="3">
                  <c:v>Initial debt / equity ratio</c:v>
                </c:pt>
                <c:pt idx="4">
                  <c:v>Initial tax rate</c:v>
                </c:pt>
                <c:pt idx="5">
                  <c:v>Initial growth rate</c:v>
                </c:pt>
                <c:pt idx="6">
                  <c:v>Terminal debt / equity ratio</c:v>
                </c:pt>
                <c:pt idx="7">
                  <c:v>Terminal tax rate</c:v>
                </c:pt>
                <c:pt idx="8">
                  <c:v>Terminal risk free rate</c:v>
                </c:pt>
                <c:pt idx="9">
                  <c:v>Scenario 2</c:v>
                </c:pt>
              </c:strCache>
            </c:strRef>
          </c:tx>
          <c:spPr>
            <a:gradFill rotWithShape="0">
              <a:gsLst>
                <a:gs pos="0">
                  <a:srgbClr val="333399"/>
                </a:gs>
                <a:gs pos="50000">
                  <a:srgbClr val="FFFFFF"/>
                </a:gs>
                <a:gs pos="100000">
                  <a:srgbClr val="333399"/>
                </a:gs>
              </a:gsLst>
              <a:lin ang="0" scaled="1"/>
            </a:gradFill>
            <a:ln w="25400">
              <a:noFill/>
            </a:ln>
          </c:spPr>
          <c:invertIfNegative val="0"/>
          <c:cat>
            <c:strRef>
              <c:f>[0]!chart_attrib_x</c:f>
              <c:strCache>
                <c:ptCount val="10"/>
                <c:pt idx="1">
                  <c:v>Scenario 1</c:v>
                </c:pt>
                <c:pt idx="2">
                  <c:v>Initial return on capital</c:v>
                </c:pt>
                <c:pt idx="3">
                  <c:v>Initial debt / equity ratio</c:v>
                </c:pt>
                <c:pt idx="4">
                  <c:v>Initial tax rate</c:v>
                </c:pt>
                <c:pt idx="5">
                  <c:v>Initial growth rate</c:v>
                </c:pt>
                <c:pt idx="6">
                  <c:v>Terminal debt / equity ratio</c:v>
                </c:pt>
                <c:pt idx="7">
                  <c:v>Terminal tax rate</c:v>
                </c:pt>
                <c:pt idx="8">
                  <c:v>Terminal risk free rate</c:v>
                </c:pt>
                <c:pt idx="9">
                  <c:v>Scenario 2</c:v>
                </c:pt>
              </c:strCache>
            </c:strRef>
          </c:cat>
          <c:val>
            <c:numRef>
              <c:f>[0]!chart_attrib_series_4</c:f>
              <c:numCache>
                <c:formatCode>General</c:formatCode>
                <c:ptCount val="11"/>
                <c:pt idx="1">
                  <c:v>83.921757918230455</c:v>
                </c:pt>
                <c:pt idx="2">
                  <c:v>4.5913134463901457</c:v>
                </c:pt>
                <c:pt idx="3">
                  <c:v>17.296155950954294</c:v>
                </c:pt>
                <c:pt idx="4">
                  <c:v>1.0455561080884692</c:v>
                </c:pt>
                <c:pt idx="5">
                  <c:v>2.0827219330087487</c:v>
                </c:pt>
                <c:pt idx="6">
                  <c:v>11.254167063402434</c:v>
                </c:pt>
                <c:pt idx="7">
                  <c:v>5.087588810069775</c:v>
                </c:pt>
                <c:pt idx="8">
                  <c:v>10.116026276339781</c:v>
                </c:pt>
                <c:pt idx="9">
                  <c:v>67.222852293098171</c:v>
                </c:pt>
                <c:pt idx="10">
                  <c:v>0</c:v>
                </c:pt>
              </c:numCache>
            </c:numRef>
          </c:val>
          <c:extLst>
            <c:ext xmlns:c16="http://schemas.microsoft.com/office/drawing/2014/chart" uri="{C3380CC4-5D6E-409C-BE32-E72D297353CC}">
              <c16:uniqueId val="{00000003-95DD-43FF-95F8-07EB790F51F4}"/>
            </c:ext>
          </c:extLst>
        </c:ser>
        <c:dLbls>
          <c:showLegendKey val="0"/>
          <c:showVal val="0"/>
          <c:showCatName val="0"/>
          <c:showSerName val="0"/>
          <c:showPercent val="0"/>
          <c:showBubbleSize val="0"/>
        </c:dLbls>
        <c:gapWidth val="10"/>
        <c:overlap val="100"/>
        <c:axId val="388461912"/>
        <c:axId val="1"/>
      </c:barChart>
      <c:catAx>
        <c:axId val="388461912"/>
        <c:scaling>
          <c:orientation val="minMax"/>
        </c:scaling>
        <c:delete val="0"/>
        <c:axPos val="b"/>
        <c:majorGridlines>
          <c:spPr>
            <a:ln w="3175">
              <a:solidFill>
                <a:srgbClr val="C0C0C0"/>
              </a:solidFill>
              <a:prstDash val="sysDash"/>
            </a:ln>
          </c:spPr>
        </c:majorGridlines>
        <c:numFmt formatCode="General" sourceLinked="1"/>
        <c:majorTickMark val="out"/>
        <c:minorTickMark val="none"/>
        <c:tickLblPos val="nextTo"/>
        <c:spPr>
          <a:ln w="9525">
            <a:noFill/>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88461912"/>
        <c:crosses val="autoZero"/>
        <c:crossBetween val="midCat"/>
      </c:valAx>
      <c:spPr>
        <a:solidFill>
          <a:srgbClr val="FFFFCC"/>
        </a:solidFill>
        <a:ln w="12700">
          <a:solidFill>
            <a:srgbClr val="808080"/>
          </a:solidFill>
          <a:prstDash val="solid"/>
        </a:ln>
      </c:spPr>
    </c:plotArea>
    <c:plotVisOnly val="1"/>
    <c:dispBlanksAs val="gap"/>
    <c:showDLblsOverMax val="0"/>
  </c:chart>
  <c:spPr>
    <a:solidFill>
      <a:srgbClr val="CCCC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84741354609773"/>
          <c:y val="5.228774856945903E-2"/>
          <c:w val="0.8715292553867855"/>
          <c:h val="0.63616763590825653"/>
        </c:manualLayout>
      </c:layout>
      <c:lineChart>
        <c:grouping val="standard"/>
        <c:varyColors val="0"/>
        <c:ser>
          <c:idx val="3"/>
          <c:order val="0"/>
          <c:tx>
            <c:v> </c:v>
          </c:tx>
          <c:spPr>
            <a:ln w="12700">
              <a:solidFill>
                <a:srgbClr val="FFFFCC"/>
              </a:solidFill>
              <a:prstDash val="solid"/>
            </a:ln>
          </c:spPr>
          <c:marker>
            <c:symbol val="none"/>
          </c:marker>
          <c:cat>
            <c:numRef>
              <c:f>[0]!chart_dates</c:f>
              <c:numCache>
                <c:formatCode>General</c:formatCode>
                <c:ptCount val="6"/>
                <c:pt idx="0">
                  <c:v>2020</c:v>
                </c:pt>
                <c:pt idx="1">
                  <c:v>2021</c:v>
                </c:pt>
                <c:pt idx="2">
                  <c:v>2022</c:v>
                </c:pt>
                <c:pt idx="3">
                  <c:v>2023</c:v>
                </c:pt>
                <c:pt idx="4">
                  <c:v>2024</c:v>
                </c:pt>
                <c:pt idx="5">
                  <c:v>2025</c:v>
                </c:pt>
              </c:numCache>
            </c:numRef>
          </c:cat>
          <c:val>
            <c:numRef>
              <c:f>[0]!series_1_ghost</c:f>
              <c:numCache>
                <c:formatCode>General</c:formatCode>
                <c:ptCount val="6"/>
                <c:pt idx="0">
                  <c:v>0.12919570669035974</c:v>
                </c:pt>
                <c:pt idx="1">
                  <c:v>0.13086237335702641</c:v>
                </c:pt>
                <c:pt idx="2">
                  <c:v>0.13252904002369309</c:v>
                </c:pt>
                <c:pt idx="3">
                  <c:v>0.13419570669035977</c:v>
                </c:pt>
                <c:pt idx="4">
                  <c:v>0.13586237335702644</c:v>
                </c:pt>
                <c:pt idx="5">
                  <c:v>0.13752904002369312</c:v>
                </c:pt>
              </c:numCache>
            </c:numRef>
          </c:val>
          <c:smooth val="0"/>
          <c:extLst>
            <c:ext xmlns:c16="http://schemas.microsoft.com/office/drawing/2014/chart" uri="{C3380CC4-5D6E-409C-BE32-E72D297353CC}">
              <c16:uniqueId val="{00000000-2A34-4A63-99DC-7912423744EC}"/>
            </c:ext>
          </c:extLst>
        </c:ser>
        <c:ser>
          <c:idx val="0"/>
          <c:order val="1"/>
          <c:tx>
            <c:strRef>
              <c:f>[0]!series_1_legend_1</c:f>
              <c:strCache>
                <c:ptCount val="1"/>
                <c:pt idx="0">
                  <c:v>Return on capital</c:v>
                </c:pt>
              </c:strCache>
            </c:strRef>
          </c:tx>
          <c:spPr>
            <a:ln w="38100">
              <a:solidFill>
                <a:srgbClr val="000080"/>
              </a:solidFill>
              <a:prstDash val="solid"/>
            </a:ln>
          </c:spPr>
          <c:marker>
            <c:symbol val="diamond"/>
            <c:size val="7"/>
            <c:spPr>
              <a:solidFill>
                <a:srgbClr val="000080"/>
              </a:solidFill>
              <a:ln>
                <a:solidFill>
                  <a:srgbClr val="000080"/>
                </a:solidFill>
                <a:prstDash val="solid"/>
              </a:ln>
            </c:spPr>
          </c:marker>
          <c:cat>
            <c:numRef>
              <c:f>[0]!chart_dates</c:f>
              <c:numCache>
                <c:formatCode>General</c:formatCode>
                <c:ptCount val="6"/>
                <c:pt idx="0">
                  <c:v>2020</c:v>
                </c:pt>
                <c:pt idx="1">
                  <c:v>2021</c:v>
                </c:pt>
                <c:pt idx="2">
                  <c:v>2022</c:v>
                </c:pt>
                <c:pt idx="3">
                  <c:v>2023</c:v>
                </c:pt>
                <c:pt idx="4">
                  <c:v>2024</c:v>
                </c:pt>
                <c:pt idx="5">
                  <c:v>2025</c:v>
                </c:pt>
              </c:numCache>
            </c:numRef>
          </c:cat>
          <c:val>
            <c:numRef>
              <c:f>[0]!series_1_data_1</c:f>
              <c:numCache>
                <c:formatCode>General</c:formatCode>
                <c:ptCount val="6"/>
                <c:pt idx="0">
                  <c:v>0.12</c:v>
                </c:pt>
                <c:pt idx="1">
                  <c:v>0.12</c:v>
                </c:pt>
                <c:pt idx="2">
                  <c:v>0.12</c:v>
                </c:pt>
                <c:pt idx="3">
                  <c:v>0.11333333333333333</c:v>
                </c:pt>
                <c:pt idx="4">
                  <c:v>0.10666666666666667</c:v>
                </c:pt>
                <c:pt idx="5">
                  <c:v>0.1</c:v>
                </c:pt>
              </c:numCache>
            </c:numRef>
          </c:val>
          <c:smooth val="0"/>
          <c:extLst>
            <c:ext xmlns:c16="http://schemas.microsoft.com/office/drawing/2014/chart" uri="{C3380CC4-5D6E-409C-BE32-E72D297353CC}">
              <c16:uniqueId val="{00000001-2A34-4A63-99DC-7912423744EC}"/>
            </c:ext>
          </c:extLst>
        </c:ser>
        <c:ser>
          <c:idx val="1"/>
          <c:order val="2"/>
          <c:tx>
            <c:strRef>
              <c:f>[0]!series_1_legend_2</c:f>
              <c:strCache>
                <c:ptCount val="1"/>
                <c:pt idx="0">
                  <c:v>Cost of equity</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cat>
            <c:numRef>
              <c:f>[0]!chart_dates</c:f>
              <c:numCache>
                <c:formatCode>General</c:formatCode>
                <c:ptCount val="6"/>
                <c:pt idx="0">
                  <c:v>2020</c:v>
                </c:pt>
                <c:pt idx="1">
                  <c:v>2021</c:v>
                </c:pt>
                <c:pt idx="2">
                  <c:v>2022</c:v>
                </c:pt>
                <c:pt idx="3">
                  <c:v>2023</c:v>
                </c:pt>
                <c:pt idx="4">
                  <c:v>2024</c:v>
                </c:pt>
                <c:pt idx="5">
                  <c:v>2025</c:v>
                </c:pt>
              </c:numCache>
            </c:numRef>
          </c:cat>
          <c:val>
            <c:numRef>
              <c:f>[0]!series_1_data_2</c:f>
              <c:numCache>
                <c:formatCode>General</c:formatCode>
                <c:ptCount val="6"/>
                <c:pt idx="0">
                  <c:v>0.13419570669035974</c:v>
                </c:pt>
                <c:pt idx="1">
                  <c:v>0.13491787926298826</c:v>
                </c:pt>
                <c:pt idx="2">
                  <c:v>0.13572972111792056</c:v>
                </c:pt>
                <c:pt idx="3">
                  <c:v>0.12940101169496052</c:v>
                </c:pt>
                <c:pt idx="4">
                  <c:v>0.12250606139198217</c:v>
                </c:pt>
                <c:pt idx="5">
                  <c:v>0.11535844471445318</c:v>
                </c:pt>
              </c:numCache>
            </c:numRef>
          </c:val>
          <c:smooth val="0"/>
          <c:extLst>
            <c:ext xmlns:c16="http://schemas.microsoft.com/office/drawing/2014/chart" uri="{C3380CC4-5D6E-409C-BE32-E72D297353CC}">
              <c16:uniqueId val="{00000002-2A34-4A63-99DC-7912423744EC}"/>
            </c:ext>
          </c:extLst>
        </c:ser>
        <c:ser>
          <c:idx val="2"/>
          <c:order val="3"/>
          <c:tx>
            <c:strRef>
              <c:f>[0]!series_1_legend_3</c:f>
              <c:strCache>
                <c:ptCount val="1"/>
                <c:pt idx="0">
                  <c:v>Cost of debt (post-tax)</c:v>
                </c:pt>
              </c:strCache>
            </c:strRef>
          </c:tx>
          <c:spPr>
            <a:ln w="38100">
              <a:solidFill>
                <a:srgbClr val="008000"/>
              </a:solidFill>
              <a:prstDash val="solid"/>
            </a:ln>
          </c:spPr>
          <c:marker>
            <c:symbol val="triangle"/>
            <c:size val="5"/>
            <c:spPr>
              <a:solidFill>
                <a:srgbClr val="008000"/>
              </a:solidFill>
              <a:ln>
                <a:solidFill>
                  <a:srgbClr val="008000"/>
                </a:solidFill>
                <a:prstDash val="solid"/>
              </a:ln>
            </c:spPr>
          </c:marker>
          <c:cat>
            <c:numRef>
              <c:f>[0]!chart_dates</c:f>
              <c:numCache>
                <c:formatCode>General</c:formatCode>
                <c:ptCount val="6"/>
                <c:pt idx="0">
                  <c:v>2020</c:v>
                </c:pt>
                <c:pt idx="1">
                  <c:v>2021</c:v>
                </c:pt>
                <c:pt idx="2">
                  <c:v>2022</c:v>
                </c:pt>
                <c:pt idx="3">
                  <c:v>2023</c:v>
                </c:pt>
                <c:pt idx="4">
                  <c:v>2024</c:v>
                </c:pt>
                <c:pt idx="5">
                  <c:v>2025</c:v>
                </c:pt>
              </c:numCache>
            </c:numRef>
          </c:cat>
          <c:val>
            <c:numRef>
              <c:f>[0]!series_1_data_3</c:f>
              <c:numCache>
                <c:formatCode>General</c:formatCode>
                <c:ptCount val="6"/>
                <c:pt idx="0">
                  <c:v>2.8036656984995256E-2</c:v>
                </c:pt>
                <c:pt idx="1">
                  <c:v>2.8036656984995256E-2</c:v>
                </c:pt>
                <c:pt idx="2">
                  <c:v>2.8036656984995256E-2</c:v>
                </c:pt>
                <c:pt idx="3">
                  <c:v>2.8006442866431665E-2</c:v>
                </c:pt>
                <c:pt idx="4">
                  <c:v>2.8000131947490663E-2</c:v>
                </c:pt>
                <c:pt idx="5">
                  <c:v>2.800000000005607E-2</c:v>
                </c:pt>
              </c:numCache>
            </c:numRef>
          </c:val>
          <c:smooth val="0"/>
          <c:extLst>
            <c:ext xmlns:c16="http://schemas.microsoft.com/office/drawing/2014/chart" uri="{C3380CC4-5D6E-409C-BE32-E72D297353CC}">
              <c16:uniqueId val="{00000003-2A34-4A63-99DC-7912423744EC}"/>
            </c:ext>
          </c:extLst>
        </c:ser>
        <c:dLbls>
          <c:showLegendKey val="0"/>
          <c:showVal val="0"/>
          <c:showCatName val="0"/>
          <c:showSerName val="0"/>
          <c:showPercent val="0"/>
          <c:showBubbleSize val="0"/>
        </c:dLbls>
        <c:smooth val="0"/>
        <c:axId val="388466832"/>
        <c:axId val="1"/>
      </c:lineChart>
      <c:catAx>
        <c:axId val="388466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88466832"/>
        <c:crosses val="autoZero"/>
        <c:crossBetween val="between"/>
      </c:valAx>
      <c:spPr>
        <a:solidFill>
          <a:srgbClr val="FFFFCC"/>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CCCC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48760330578514"/>
          <c:y val="4.8859934853420196E-2"/>
          <c:w val="0.79132231404958675"/>
          <c:h val="0.61672095548317052"/>
        </c:manualLayout>
      </c:layout>
      <c:lineChart>
        <c:grouping val="standard"/>
        <c:varyColors val="0"/>
        <c:ser>
          <c:idx val="3"/>
          <c:order val="0"/>
          <c:tx>
            <c:v> </c:v>
          </c:tx>
          <c:spPr>
            <a:ln w="12700">
              <a:solidFill>
                <a:srgbClr val="FFFFCC"/>
              </a:solidFill>
              <a:prstDash val="solid"/>
            </a:ln>
          </c:spPr>
          <c:marker>
            <c:symbol val="none"/>
          </c:marker>
          <c:cat>
            <c:numRef>
              <c:f>[0]!chart_dates</c:f>
              <c:numCache>
                <c:formatCode>General</c:formatCode>
                <c:ptCount val="6"/>
                <c:pt idx="0">
                  <c:v>2020</c:v>
                </c:pt>
                <c:pt idx="1">
                  <c:v>2021</c:v>
                </c:pt>
                <c:pt idx="2">
                  <c:v>2022</c:v>
                </c:pt>
                <c:pt idx="3">
                  <c:v>2023</c:v>
                </c:pt>
                <c:pt idx="4">
                  <c:v>2024</c:v>
                </c:pt>
                <c:pt idx="5">
                  <c:v>2025</c:v>
                </c:pt>
              </c:numCache>
            </c:numRef>
          </c:cat>
          <c:val>
            <c:numRef>
              <c:f>[0]!series_2_ghost</c:f>
              <c:numCache>
                <c:formatCode>General</c:formatCode>
                <c:ptCount val="6"/>
                <c:pt idx="0">
                  <c:v>6.0909671966373127</c:v>
                </c:pt>
                <c:pt idx="1">
                  <c:v>6.0926338633039796</c:v>
                </c:pt>
                <c:pt idx="2">
                  <c:v>6.0943005299706465</c:v>
                </c:pt>
                <c:pt idx="3">
                  <c:v>6.0959671966373135</c:v>
                </c:pt>
                <c:pt idx="4">
                  <c:v>6.0976338633039804</c:v>
                </c:pt>
                <c:pt idx="5">
                  <c:v>6.0993005299706473</c:v>
                </c:pt>
              </c:numCache>
            </c:numRef>
          </c:val>
          <c:smooth val="0"/>
          <c:extLst>
            <c:ext xmlns:c16="http://schemas.microsoft.com/office/drawing/2014/chart" uri="{C3380CC4-5D6E-409C-BE32-E72D297353CC}">
              <c16:uniqueId val="{00000000-A209-4CA4-B9B6-DD9B80A95099}"/>
            </c:ext>
          </c:extLst>
        </c:ser>
        <c:ser>
          <c:idx val="0"/>
          <c:order val="1"/>
          <c:tx>
            <c:strRef>
              <c:f>[0]!series_2_legend_1</c:f>
              <c:strCache>
                <c:ptCount val="1"/>
                <c:pt idx="0">
                  <c:v>P/E ratio</c:v>
                </c:pt>
              </c:strCache>
            </c:strRef>
          </c:tx>
          <c:spPr>
            <a:ln w="38100">
              <a:solidFill>
                <a:srgbClr val="000080"/>
              </a:solidFill>
              <a:prstDash val="solid"/>
            </a:ln>
          </c:spPr>
          <c:marker>
            <c:symbol val="diamond"/>
            <c:size val="7"/>
            <c:spPr>
              <a:solidFill>
                <a:srgbClr val="000080"/>
              </a:solidFill>
              <a:ln>
                <a:solidFill>
                  <a:srgbClr val="000080"/>
                </a:solidFill>
                <a:prstDash val="solid"/>
              </a:ln>
            </c:spPr>
          </c:marker>
          <c:cat>
            <c:numRef>
              <c:f>[0]!chart_dates</c:f>
              <c:numCache>
                <c:formatCode>General</c:formatCode>
                <c:ptCount val="6"/>
                <c:pt idx="0">
                  <c:v>2020</c:v>
                </c:pt>
                <c:pt idx="1">
                  <c:v>2021</c:v>
                </c:pt>
                <c:pt idx="2">
                  <c:v>2022</c:v>
                </c:pt>
                <c:pt idx="3">
                  <c:v>2023</c:v>
                </c:pt>
                <c:pt idx="4">
                  <c:v>2024</c:v>
                </c:pt>
                <c:pt idx="5">
                  <c:v>2025</c:v>
                </c:pt>
              </c:numCache>
            </c:numRef>
          </c:cat>
          <c:val>
            <c:numRef>
              <c:f>[0]!series_2_data_1</c:f>
              <c:numCache>
                <c:formatCode>General</c:formatCode>
                <c:ptCount val="6"/>
                <c:pt idx="0">
                  <c:v>6.0959671966373126</c:v>
                </c:pt>
                <c:pt idx="1">
                  <c:v>5.9192932402949019</c:v>
                </c:pt>
                <c:pt idx="2">
                  <c:v>5.7325236293043567</c:v>
                </c:pt>
                <c:pt idx="3">
                  <c:v>6.4026253360346388</c:v>
                </c:pt>
                <c:pt idx="4">
                  <c:v>7.3124689070369939</c:v>
                </c:pt>
                <c:pt idx="5">
                  <c:v>8.5302653399672774</c:v>
                </c:pt>
              </c:numCache>
            </c:numRef>
          </c:val>
          <c:smooth val="0"/>
          <c:extLst>
            <c:ext xmlns:c16="http://schemas.microsoft.com/office/drawing/2014/chart" uri="{C3380CC4-5D6E-409C-BE32-E72D297353CC}">
              <c16:uniqueId val="{00000001-A209-4CA4-B9B6-DD9B80A95099}"/>
            </c:ext>
          </c:extLst>
        </c:ser>
        <c:ser>
          <c:idx val="1"/>
          <c:order val="2"/>
          <c:tx>
            <c:strRef>
              <c:f>[0]!series_2_legend_2</c:f>
              <c:strCache>
                <c:ptCount val="1"/>
                <c:pt idx="0">
                  <c:v>Debt / equity ratio</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cat>
            <c:numRef>
              <c:f>[0]!chart_dates</c:f>
              <c:numCache>
                <c:formatCode>General</c:formatCode>
                <c:ptCount val="6"/>
                <c:pt idx="0">
                  <c:v>2020</c:v>
                </c:pt>
                <c:pt idx="1">
                  <c:v>2021</c:v>
                </c:pt>
                <c:pt idx="2">
                  <c:v>2022</c:v>
                </c:pt>
                <c:pt idx="3">
                  <c:v>2023</c:v>
                </c:pt>
                <c:pt idx="4">
                  <c:v>2024</c:v>
                </c:pt>
                <c:pt idx="5">
                  <c:v>2025</c:v>
                </c:pt>
              </c:numCache>
            </c:numRef>
          </c:cat>
          <c:val>
            <c:numRef>
              <c:f>[0]!series_2_data_2</c:f>
              <c:numCache>
                <c:formatCode>General</c:formatCode>
                <c:ptCount val="6"/>
                <c:pt idx="0">
                  <c:v>0.5</c:v>
                </c:pt>
                <c:pt idx="1">
                  <c:v>0.5</c:v>
                </c:pt>
                <c:pt idx="2">
                  <c:v>0.5</c:v>
                </c:pt>
                <c:pt idx="3">
                  <c:v>0.3666666666666667</c:v>
                </c:pt>
                <c:pt idx="4">
                  <c:v>0.23333333333333334</c:v>
                </c:pt>
                <c:pt idx="5">
                  <c:v>9.9999999999999922E-2</c:v>
                </c:pt>
              </c:numCache>
            </c:numRef>
          </c:val>
          <c:smooth val="0"/>
          <c:extLst>
            <c:ext xmlns:c16="http://schemas.microsoft.com/office/drawing/2014/chart" uri="{C3380CC4-5D6E-409C-BE32-E72D297353CC}">
              <c16:uniqueId val="{00000002-A209-4CA4-B9B6-DD9B80A95099}"/>
            </c:ext>
          </c:extLst>
        </c:ser>
        <c:ser>
          <c:idx val="2"/>
          <c:order val="3"/>
          <c:tx>
            <c:strRef>
              <c:f>[0]!series_2_legend_3</c:f>
              <c:strCache>
                <c:ptCount val="1"/>
                <c:pt idx="0">
                  <c:v>Enterprise value / EBITDA</c:v>
                </c:pt>
              </c:strCache>
            </c:strRef>
          </c:tx>
          <c:spPr>
            <a:ln w="38100">
              <a:solidFill>
                <a:srgbClr val="008000"/>
              </a:solidFill>
              <a:prstDash val="solid"/>
            </a:ln>
          </c:spPr>
          <c:marker>
            <c:symbol val="triangle"/>
            <c:size val="5"/>
            <c:spPr>
              <a:solidFill>
                <a:srgbClr val="008000"/>
              </a:solidFill>
              <a:ln>
                <a:solidFill>
                  <a:srgbClr val="008000"/>
                </a:solidFill>
                <a:prstDash val="solid"/>
              </a:ln>
            </c:spPr>
          </c:marker>
          <c:cat>
            <c:numRef>
              <c:f>[0]!chart_dates</c:f>
              <c:numCache>
                <c:formatCode>General</c:formatCode>
                <c:ptCount val="6"/>
                <c:pt idx="0">
                  <c:v>2020</c:v>
                </c:pt>
                <c:pt idx="1">
                  <c:v>2021</c:v>
                </c:pt>
                <c:pt idx="2">
                  <c:v>2022</c:v>
                </c:pt>
                <c:pt idx="3">
                  <c:v>2023</c:v>
                </c:pt>
                <c:pt idx="4">
                  <c:v>2024</c:v>
                </c:pt>
                <c:pt idx="5">
                  <c:v>2025</c:v>
                </c:pt>
              </c:numCache>
            </c:numRef>
          </c:cat>
          <c:val>
            <c:numRef>
              <c:f>[0]!series_2_data_3</c:f>
              <c:numCache>
                <c:formatCode>General</c:formatCode>
                <c:ptCount val="6"/>
                <c:pt idx="0">
                  <c:v>5.2650406832185821</c:v>
                </c:pt>
                <c:pt idx="1">
                  <c:v>5.1629150762042055</c:v>
                </c:pt>
                <c:pt idx="2">
                  <c:v>5.0549537202175792</c:v>
                </c:pt>
                <c:pt idx="3">
                  <c:v>5.1995049838830418</c:v>
                </c:pt>
                <c:pt idx="4">
                  <c:v>5.397634456914731</c:v>
                </c:pt>
                <c:pt idx="5">
                  <c:v>5.6627680311890822</c:v>
                </c:pt>
              </c:numCache>
            </c:numRef>
          </c:val>
          <c:smooth val="0"/>
          <c:extLst>
            <c:ext xmlns:c16="http://schemas.microsoft.com/office/drawing/2014/chart" uri="{C3380CC4-5D6E-409C-BE32-E72D297353CC}">
              <c16:uniqueId val="{00000003-A209-4CA4-B9B6-DD9B80A95099}"/>
            </c:ext>
          </c:extLst>
        </c:ser>
        <c:dLbls>
          <c:showLegendKey val="0"/>
          <c:showVal val="0"/>
          <c:showCatName val="0"/>
          <c:showSerName val="0"/>
          <c:showPercent val="0"/>
          <c:showBubbleSize val="0"/>
        </c:dLbls>
        <c:smooth val="0"/>
        <c:axId val="388473392"/>
        <c:axId val="1"/>
      </c:lineChart>
      <c:catAx>
        <c:axId val="388473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88473392"/>
        <c:crosses val="autoZero"/>
        <c:crossBetween val="between"/>
      </c:valAx>
      <c:spPr>
        <a:solidFill>
          <a:srgbClr val="FFFFCC"/>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CCCC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90625"/>
          <c:y val="4.8859934853420196E-2"/>
          <c:w val="0.8359375"/>
          <c:h val="0.67100977198697065"/>
        </c:manualLayout>
      </c:layout>
      <c:lineChart>
        <c:grouping val="standard"/>
        <c:varyColors val="0"/>
        <c:ser>
          <c:idx val="3"/>
          <c:order val="0"/>
          <c:tx>
            <c:v> </c:v>
          </c:tx>
          <c:spPr>
            <a:ln w="12700">
              <a:solidFill>
                <a:srgbClr val="FFFFCC"/>
              </a:solidFill>
              <a:prstDash val="solid"/>
            </a:ln>
          </c:spPr>
          <c:marker>
            <c:symbol val="none"/>
          </c:marker>
          <c:cat>
            <c:numRef>
              <c:f>[0]!chart_dates</c:f>
              <c:numCache>
                <c:formatCode>General</c:formatCode>
                <c:ptCount val="6"/>
                <c:pt idx="0">
                  <c:v>2020</c:v>
                </c:pt>
                <c:pt idx="1">
                  <c:v>2021</c:v>
                </c:pt>
                <c:pt idx="2">
                  <c:v>2022</c:v>
                </c:pt>
                <c:pt idx="3">
                  <c:v>2023</c:v>
                </c:pt>
                <c:pt idx="4">
                  <c:v>2024</c:v>
                </c:pt>
                <c:pt idx="5">
                  <c:v>2025</c:v>
                </c:pt>
              </c:numCache>
            </c:numRef>
          </c:cat>
          <c:val>
            <c:numRef>
              <c:f>[0]!series_3_ghost</c:f>
              <c:numCache>
                <c:formatCode>General</c:formatCode>
                <c:ptCount val="6"/>
                <c:pt idx="0">
                  <c:v>9.2735337206001862</c:v>
                </c:pt>
                <c:pt idx="1">
                  <c:v>9.2752003872668531</c:v>
                </c:pt>
                <c:pt idx="2">
                  <c:v>9.2768670539335201</c:v>
                </c:pt>
                <c:pt idx="3">
                  <c:v>9.278533720600187</c:v>
                </c:pt>
                <c:pt idx="4">
                  <c:v>9.2802003872668539</c:v>
                </c:pt>
                <c:pt idx="5">
                  <c:v>9.2818670539335209</c:v>
                </c:pt>
              </c:numCache>
            </c:numRef>
          </c:val>
          <c:smooth val="0"/>
          <c:extLst>
            <c:ext xmlns:c16="http://schemas.microsoft.com/office/drawing/2014/chart" uri="{C3380CC4-5D6E-409C-BE32-E72D297353CC}">
              <c16:uniqueId val="{00000000-C4D3-4E56-8831-F54C27E0E5B9}"/>
            </c:ext>
          </c:extLst>
        </c:ser>
        <c:ser>
          <c:idx val="0"/>
          <c:order val="1"/>
          <c:tx>
            <c:strRef>
              <c:f>[0]!series_3_legend_1</c:f>
              <c:strCache>
                <c:ptCount val="1"/>
                <c:pt idx="0">
                  <c:v>Free cash flow to equity</c:v>
                </c:pt>
              </c:strCache>
            </c:strRef>
          </c:tx>
          <c:spPr>
            <a:ln w="38100">
              <a:solidFill>
                <a:srgbClr val="000080"/>
              </a:solidFill>
              <a:prstDash val="solid"/>
            </a:ln>
          </c:spPr>
          <c:marker>
            <c:symbol val="diamond"/>
            <c:size val="7"/>
            <c:spPr>
              <a:solidFill>
                <a:srgbClr val="000080"/>
              </a:solidFill>
              <a:ln>
                <a:solidFill>
                  <a:srgbClr val="000080"/>
                </a:solidFill>
                <a:prstDash val="solid"/>
              </a:ln>
            </c:spPr>
          </c:marker>
          <c:cat>
            <c:numRef>
              <c:f>[0]!chart_dates</c:f>
              <c:numCache>
                <c:formatCode>General</c:formatCode>
                <c:ptCount val="6"/>
                <c:pt idx="0">
                  <c:v>2020</c:v>
                </c:pt>
                <c:pt idx="1">
                  <c:v>2021</c:v>
                </c:pt>
                <c:pt idx="2">
                  <c:v>2022</c:v>
                </c:pt>
                <c:pt idx="3">
                  <c:v>2023</c:v>
                </c:pt>
                <c:pt idx="4">
                  <c:v>2024</c:v>
                </c:pt>
                <c:pt idx="5">
                  <c:v>2025</c:v>
                </c:pt>
              </c:numCache>
            </c:numRef>
          </c:cat>
          <c:val>
            <c:numRef>
              <c:f>[0]!series_3_data_1</c:f>
              <c:numCache>
                <c:formatCode>General</c:formatCode>
                <c:ptCount val="6"/>
                <c:pt idx="0">
                  <c:v>9.278533720600187</c:v>
                </c:pt>
                <c:pt idx="1">
                  <c:v>9.742460406630201</c:v>
                </c:pt>
                <c:pt idx="2">
                  <c:v>1.1944614757421981</c:v>
                </c:pt>
                <c:pt idx="3">
                  <c:v>-0.79410989412767741</c:v>
                </c:pt>
                <c:pt idx="4">
                  <c:v>-3.4938262148039669</c:v>
                </c:pt>
                <c:pt idx="5">
                  <c:v>11.79623747781743</c:v>
                </c:pt>
              </c:numCache>
            </c:numRef>
          </c:val>
          <c:smooth val="0"/>
          <c:extLst>
            <c:ext xmlns:c16="http://schemas.microsoft.com/office/drawing/2014/chart" uri="{C3380CC4-5D6E-409C-BE32-E72D297353CC}">
              <c16:uniqueId val="{00000001-C4D3-4E56-8831-F54C27E0E5B9}"/>
            </c:ext>
          </c:extLst>
        </c:ser>
        <c:ser>
          <c:idx val="1"/>
          <c:order val="2"/>
          <c:tx>
            <c:strRef>
              <c:f>[0]!series_3_legend_2</c:f>
              <c:strCache>
                <c:ptCount val="1"/>
                <c:pt idx="0">
                  <c:v>EVA due to growth assets</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cat>
            <c:numRef>
              <c:f>[0]!chart_dates</c:f>
              <c:numCache>
                <c:formatCode>General</c:formatCode>
                <c:ptCount val="6"/>
                <c:pt idx="0">
                  <c:v>2020</c:v>
                </c:pt>
                <c:pt idx="1">
                  <c:v>2021</c:v>
                </c:pt>
                <c:pt idx="2">
                  <c:v>2022</c:v>
                </c:pt>
                <c:pt idx="3">
                  <c:v>2023</c:v>
                </c:pt>
                <c:pt idx="4">
                  <c:v>2024</c:v>
                </c:pt>
                <c:pt idx="5">
                  <c:v>2025</c:v>
                </c:pt>
              </c:numCache>
            </c:numRef>
          </c:cat>
          <c:val>
            <c:numRef>
              <c:f>[0]!series_3_data_2</c:f>
              <c:numCache>
                <c:formatCode>General</c:formatCode>
                <c:ptCount val="6"/>
                <c:pt idx="0">
                  <c:v>-1.9570430453467025</c:v>
                </c:pt>
                <c:pt idx="1">
                  <c:v>-2.1849821123629343</c:v>
                </c:pt>
                <c:pt idx="2">
                  <c:v>-2.3071500024740494</c:v>
                </c:pt>
                <c:pt idx="3">
                  <c:v>-2.2850877986192053</c:v>
                </c:pt>
                <c:pt idx="4">
                  <c:v>-2.2137356617664512</c:v>
                </c:pt>
                <c:pt idx="5">
                  <c:v>-2.1684509553047473</c:v>
                </c:pt>
              </c:numCache>
            </c:numRef>
          </c:val>
          <c:smooth val="0"/>
          <c:extLst>
            <c:ext xmlns:c16="http://schemas.microsoft.com/office/drawing/2014/chart" uri="{C3380CC4-5D6E-409C-BE32-E72D297353CC}">
              <c16:uniqueId val="{00000002-C4D3-4E56-8831-F54C27E0E5B9}"/>
            </c:ext>
          </c:extLst>
        </c:ser>
        <c:ser>
          <c:idx val="2"/>
          <c:order val="3"/>
          <c:tx>
            <c:strRef>
              <c:f>[0]!series_3_legend_3</c:f>
              <c:strCache>
                <c:ptCount val="1"/>
                <c:pt idx="0">
                  <c:v>Economic value added (EVA)</c:v>
                </c:pt>
              </c:strCache>
            </c:strRef>
          </c:tx>
          <c:spPr>
            <a:ln w="38100">
              <a:solidFill>
                <a:srgbClr val="008000"/>
              </a:solidFill>
              <a:prstDash val="solid"/>
            </a:ln>
          </c:spPr>
          <c:marker>
            <c:symbol val="triangle"/>
            <c:size val="5"/>
            <c:spPr>
              <a:solidFill>
                <a:srgbClr val="008000"/>
              </a:solidFill>
              <a:ln>
                <a:solidFill>
                  <a:srgbClr val="008000"/>
                </a:solidFill>
                <a:prstDash val="solid"/>
              </a:ln>
            </c:spPr>
          </c:marker>
          <c:cat>
            <c:numRef>
              <c:f>[0]!chart_dates</c:f>
              <c:numCache>
                <c:formatCode>General</c:formatCode>
                <c:ptCount val="6"/>
                <c:pt idx="0">
                  <c:v>2020</c:v>
                </c:pt>
                <c:pt idx="1">
                  <c:v>2021</c:v>
                </c:pt>
                <c:pt idx="2">
                  <c:v>2022</c:v>
                </c:pt>
                <c:pt idx="3">
                  <c:v>2023</c:v>
                </c:pt>
                <c:pt idx="4">
                  <c:v>2024</c:v>
                </c:pt>
                <c:pt idx="5">
                  <c:v>2025</c:v>
                </c:pt>
              </c:numCache>
            </c:numRef>
          </c:cat>
          <c:val>
            <c:numRef>
              <c:f>[0]!series_3_data_3</c:f>
              <c:numCache>
                <c:formatCode>General</c:formatCode>
                <c:ptCount val="6"/>
                <c:pt idx="0">
                  <c:v>0.94550598022105614</c:v>
                </c:pt>
                <c:pt idx="1">
                  <c:v>-1.4704883619546232</c:v>
                </c:pt>
                <c:pt idx="2">
                  <c:v>-4.2782420817696298</c:v>
                </c:pt>
                <c:pt idx="3">
                  <c:v>-7.5271487107642852</c:v>
                </c:pt>
                <c:pt idx="4">
                  <c:v>-10.04809104455811</c:v>
                </c:pt>
                <c:pt idx="5">
                  <c:v>-11.573780400000041</c:v>
                </c:pt>
              </c:numCache>
            </c:numRef>
          </c:val>
          <c:smooth val="0"/>
          <c:extLst>
            <c:ext xmlns:c16="http://schemas.microsoft.com/office/drawing/2014/chart" uri="{C3380CC4-5D6E-409C-BE32-E72D297353CC}">
              <c16:uniqueId val="{00000003-C4D3-4E56-8831-F54C27E0E5B9}"/>
            </c:ext>
          </c:extLst>
        </c:ser>
        <c:dLbls>
          <c:showLegendKey val="0"/>
          <c:showVal val="0"/>
          <c:showCatName val="0"/>
          <c:showSerName val="0"/>
          <c:showPercent val="0"/>
          <c:showBubbleSize val="0"/>
        </c:dLbls>
        <c:smooth val="0"/>
        <c:axId val="388477000"/>
        <c:axId val="1"/>
      </c:lineChart>
      <c:catAx>
        <c:axId val="388477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88477000"/>
        <c:crosses val="autoZero"/>
        <c:crossBetween val="between"/>
      </c:valAx>
      <c:spPr>
        <a:solidFill>
          <a:srgbClr val="FFFFCC"/>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CCCC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Charts!$B$106</c:f>
          <c:strCache>
            <c:ptCount val="1"/>
            <c:pt idx="0">
              <c:v>Return on equity and return on capital (in base year) as function of debt / equity ratio</c:v>
            </c:pt>
          </c:strCache>
        </c:strRef>
      </c:tx>
      <c:layout>
        <c:manualLayout>
          <c:xMode val="edge"/>
          <c:yMode val="edge"/>
          <c:x val="0.1259124087591241"/>
          <c:y val="1.5432147227930819E-2"/>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8.3941605839416053E-2"/>
          <c:y val="0.14956011730205279"/>
          <c:w val="0.87591240875912413"/>
          <c:h val="0.55425219941348969"/>
        </c:manualLayout>
      </c:layout>
      <c:lineChart>
        <c:grouping val="standard"/>
        <c:varyColors val="0"/>
        <c:ser>
          <c:idx val="1"/>
          <c:order val="0"/>
          <c:tx>
            <c:strRef>
              <c:f>Main!$B$32</c:f>
              <c:strCache>
                <c:ptCount val="1"/>
                <c:pt idx="0">
                  <c:v>Return on capital</c:v>
                </c:pt>
              </c:strCache>
            </c:strRef>
          </c:tx>
          <c:spPr>
            <a:ln w="38100">
              <a:solidFill>
                <a:srgbClr val="000080"/>
              </a:solidFill>
              <a:prstDash val="solid"/>
            </a:ln>
          </c:spPr>
          <c:marker>
            <c:symbol val="none"/>
          </c:marker>
          <c:cat>
            <c:numRef>
              <c:f>[0]!assumptions_vary_x_axis</c:f>
              <c:numCache>
                <c:formatCode>0%</c:formatCode>
                <c:ptCount val="12"/>
                <c:pt idx="0">
                  <c:v>1.0379157174611464E-5</c:v>
                </c:pt>
                <c:pt idx="1">
                  <c:v>0.10001037915753841</c:v>
                </c:pt>
                <c:pt idx="2">
                  <c:v>0.20001037915790221</c:v>
                </c:pt>
                <c:pt idx="3">
                  <c:v>0.30001037915826601</c:v>
                </c:pt>
                <c:pt idx="4">
                  <c:v>0.4000103791586298</c:v>
                </c:pt>
                <c:pt idx="5">
                  <c:v>0.5000103791589936</c:v>
                </c:pt>
                <c:pt idx="6">
                  <c:v>0.6000103791593574</c:v>
                </c:pt>
                <c:pt idx="7">
                  <c:v>0.7000103791597212</c:v>
                </c:pt>
                <c:pt idx="8">
                  <c:v>0.80001037916008499</c:v>
                </c:pt>
                <c:pt idx="9">
                  <c:v>0.90001037916044879</c:v>
                </c:pt>
                <c:pt idx="10">
                  <c:v>1.0000103791608126</c:v>
                </c:pt>
                <c:pt idx="11">
                  <c:v>1.1000103791611764</c:v>
                </c:pt>
              </c:numCache>
            </c:numRef>
          </c:cat>
          <c:val>
            <c:numRef>
              <c:f>[0]!row_roc_data</c:f>
              <c:numCache>
                <c:formatCode>General</c:formatCode>
                <c:ptCount val="12"/>
                <c:pt idx="0">
                  <c:v>0.12000000000000009</c:v>
                </c:pt>
                <c:pt idx="1">
                  <c:v>0.1200000000010001</c:v>
                </c:pt>
                <c:pt idx="2">
                  <c:v>0.1200000000020001</c:v>
                </c:pt>
                <c:pt idx="3">
                  <c:v>0.1200000000030001</c:v>
                </c:pt>
                <c:pt idx="4">
                  <c:v>0.1200000000040001</c:v>
                </c:pt>
                <c:pt idx="5">
                  <c:v>0.12000000000500009</c:v>
                </c:pt>
                <c:pt idx="6">
                  <c:v>0.1200000000060001</c:v>
                </c:pt>
                <c:pt idx="7">
                  <c:v>0.1200000000070001</c:v>
                </c:pt>
                <c:pt idx="8">
                  <c:v>0.1200000000080001</c:v>
                </c:pt>
                <c:pt idx="9">
                  <c:v>0.1200000000090001</c:v>
                </c:pt>
                <c:pt idx="10">
                  <c:v>0.12000000001000009</c:v>
                </c:pt>
                <c:pt idx="11">
                  <c:v>0.1200000000110001</c:v>
                </c:pt>
              </c:numCache>
            </c:numRef>
          </c:val>
          <c:smooth val="1"/>
          <c:extLst>
            <c:ext xmlns:c16="http://schemas.microsoft.com/office/drawing/2014/chart" uri="{C3380CC4-5D6E-409C-BE32-E72D297353CC}">
              <c16:uniqueId val="{00000000-29D5-4C96-90DE-CD6017BDEF06}"/>
            </c:ext>
          </c:extLst>
        </c:ser>
        <c:ser>
          <c:idx val="0"/>
          <c:order val="1"/>
          <c:tx>
            <c:strRef>
              <c:f>Main!$B$105</c:f>
              <c:strCache>
                <c:ptCount val="1"/>
                <c:pt idx="0">
                  <c:v>Return on equity</c:v>
                </c:pt>
              </c:strCache>
            </c:strRef>
          </c:tx>
          <c:spPr>
            <a:ln w="38100">
              <a:solidFill>
                <a:srgbClr val="FF00FF"/>
              </a:solidFill>
              <a:prstDash val="solid"/>
            </a:ln>
          </c:spPr>
          <c:marker>
            <c:symbol val="none"/>
          </c:marker>
          <c:cat>
            <c:numRef>
              <c:f>[0]!assumptions_vary_x_axis</c:f>
              <c:numCache>
                <c:formatCode>0%</c:formatCode>
                <c:ptCount val="12"/>
                <c:pt idx="0">
                  <c:v>1.0379157174611464E-5</c:v>
                </c:pt>
                <c:pt idx="1">
                  <c:v>0.10001037915753841</c:v>
                </c:pt>
                <c:pt idx="2">
                  <c:v>0.20001037915790221</c:v>
                </c:pt>
                <c:pt idx="3">
                  <c:v>0.30001037915826601</c:v>
                </c:pt>
                <c:pt idx="4">
                  <c:v>0.4000103791586298</c:v>
                </c:pt>
                <c:pt idx="5">
                  <c:v>0.5000103791589936</c:v>
                </c:pt>
                <c:pt idx="6">
                  <c:v>0.6000103791593574</c:v>
                </c:pt>
                <c:pt idx="7">
                  <c:v>0.7000103791597212</c:v>
                </c:pt>
                <c:pt idx="8">
                  <c:v>0.80001037916008499</c:v>
                </c:pt>
                <c:pt idx="9">
                  <c:v>0.90001037916044879</c:v>
                </c:pt>
                <c:pt idx="10">
                  <c:v>1.0000103791608126</c:v>
                </c:pt>
                <c:pt idx="11">
                  <c:v>1.1000103791611764</c:v>
                </c:pt>
              </c:numCache>
            </c:numRef>
          </c:cat>
          <c:val>
            <c:numRef>
              <c:f>[0]!row_roe_data</c:f>
              <c:numCache>
                <c:formatCode>General</c:formatCode>
                <c:ptCount val="12"/>
                <c:pt idx="0">
                  <c:v>0.12000095488246017</c:v>
                </c:pt>
                <c:pt idx="1">
                  <c:v>0.12920095488349359</c:v>
                </c:pt>
                <c:pt idx="2">
                  <c:v>0.13840095437949843</c:v>
                </c:pt>
                <c:pt idx="3">
                  <c:v>0.14760080048341614</c:v>
                </c:pt>
                <c:pt idx="4">
                  <c:v>0.15679800805394473</c:v>
                </c:pt>
                <c:pt idx="5">
                  <c:v>0.16598262355923105</c:v>
                </c:pt>
                <c:pt idx="6">
                  <c:v>0.17513593687993512</c:v>
                </c:pt>
                <c:pt idx="7">
                  <c:v>0.18423340144835959</c:v>
                </c:pt>
                <c:pt idx="8">
                  <c:v>0.19324644449285078</c:v>
                </c:pt>
                <c:pt idx="9">
                  <c:v>0.20214114908053196</c:v>
                </c:pt>
                <c:pt idx="10">
                  <c:v>0.21087201401860453</c:v>
                </c:pt>
                <c:pt idx="11">
                  <c:v>0.21936339613692818</c:v>
                </c:pt>
              </c:numCache>
            </c:numRef>
          </c:val>
          <c:smooth val="1"/>
          <c:extLst>
            <c:ext xmlns:c16="http://schemas.microsoft.com/office/drawing/2014/chart" uri="{C3380CC4-5D6E-409C-BE32-E72D297353CC}">
              <c16:uniqueId val="{00000001-29D5-4C96-90DE-CD6017BDEF06}"/>
            </c:ext>
          </c:extLst>
        </c:ser>
        <c:dLbls>
          <c:showLegendKey val="0"/>
          <c:showVal val="0"/>
          <c:showCatName val="0"/>
          <c:showSerName val="0"/>
          <c:showPercent val="0"/>
          <c:showBubbleSize val="0"/>
        </c:dLbls>
        <c:smooth val="0"/>
        <c:axId val="387934136"/>
        <c:axId val="1"/>
      </c:lineChart>
      <c:catAx>
        <c:axId val="387934136"/>
        <c:scaling>
          <c:orientation val="minMax"/>
        </c:scaling>
        <c:delete val="0"/>
        <c:axPos val="b"/>
        <c:majorGridlines>
          <c:spPr>
            <a:ln w="3175">
              <a:solidFill>
                <a:srgbClr val="C0C0C0"/>
              </a:solidFill>
              <a:prstDash val="sysDash"/>
            </a:ln>
          </c:spPr>
        </c:majorGridlines>
        <c:title>
          <c:tx>
            <c:strRef>
              <c:f>'Assumptions vary'!$F$185</c:f>
              <c:strCache>
                <c:ptCount val="1"/>
                <c:pt idx="0">
                  <c:v>Debt / equity ratio</c:v>
                </c:pt>
              </c:strCache>
            </c:strRef>
          </c:tx>
          <c:layout>
            <c:manualLayout>
              <c:xMode val="edge"/>
              <c:yMode val="edge"/>
              <c:x val="0.43430656934306572"/>
              <c:y val="0.84567914347949913"/>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en-US"/>
            </a:p>
          </c:tx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87934136"/>
        <c:crosses val="autoZero"/>
        <c:crossBetween val="midCat"/>
      </c:valAx>
      <c:spPr>
        <a:solidFill>
          <a:srgbClr val="FFFFCC"/>
        </a:solidFill>
        <a:ln w="12700">
          <a:solidFill>
            <a:srgbClr val="808080"/>
          </a:solidFill>
          <a:prstDash val="solid"/>
        </a:ln>
      </c:spPr>
    </c:plotArea>
    <c:legend>
      <c:legendPos val="r"/>
      <c:layout>
        <c:manualLayout>
          <c:xMode val="edge"/>
          <c:yMode val="edge"/>
          <c:x val="4.7038487581961774E-2"/>
          <c:y val="0.87941681650285219"/>
          <c:w val="0.8641144385427052"/>
          <c:h val="0.1029417678180596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CCCC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Charts!$B$108</c:f>
          <c:strCache>
            <c:ptCount val="1"/>
            <c:pt idx="0">
              <c:v>Cost of capital (in base year) as function of debt / equity ratio</c:v>
            </c:pt>
          </c:strCache>
        </c:strRef>
      </c:tx>
      <c:layout>
        <c:manualLayout>
          <c:xMode val="edge"/>
          <c:yMode val="edge"/>
          <c:x val="0.18430656934306569"/>
          <c:y val="1.5432147227930819E-2"/>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1678832116788321"/>
          <c:y val="0.10557184750733138"/>
          <c:w val="0.82664233576642332"/>
          <c:h val="0.5161290322580645"/>
        </c:manualLayout>
      </c:layout>
      <c:lineChart>
        <c:grouping val="standard"/>
        <c:varyColors val="0"/>
        <c:ser>
          <c:idx val="0"/>
          <c:order val="0"/>
          <c:tx>
            <c:strRef>
              <c:f>Main!$B$104</c:f>
              <c:strCache>
                <c:ptCount val="1"/>
                <c:pt idx="0">
                  <c:v>Cost of capital [WACC]</c:v>
                </c:pt>
              </c:strCache>
            </c:strRef>
          </c:tx>
          <c:spPr>
            <a:ln w="38100">
              <a:solidFill>
                <a:srgbClr val="000080"/>
              </a:solidFill>
              <a:prstDash val="solid"/>
            </a:ln>
          </c:spPr>
          <c:marker>
            <c:symbol val="none"/>
          </c:marker>
          <c:cat>
            <c:numRef>
              <c:f>[0]!assumptions_vary_x_axis</c:f>
              <c:numCache>
                <c:formatCode>0%</c:formatCode>
                <c:ptCount val="12"/>
                <c:pt idx="0">
                  <c:v>1.0379157174611464E-5</c:v>
                </c:pt>
                <c:pt idx="1">
                  <c:v>0.10001037915753841</c:v>
                </c:pt>
                <c:pt idx="2">
                  <c:v>0.20001037915790221</c:v>
                </c:pt>
                <c:pt idx="3">
                  <c:v>0.30001037915826601</c:v>
                </c:pt>
                <c:pt idx="4">
                  <c:v>0.4000103791586298</c:v>
                </c:pt>
                <c:pt idx="5">
                  <c:v>0.5000103791589936</c:v>
                </c:pt>
                <c:pt idx="6">
                  <c:v>0.6000103791593574</c:v>
                </c:pt>
                <c:pt idx="7">
                  <c:v>0.7000103791597212</c:v>
                </c:pt>
                <c:pt idx="8">
                  <c:v>0.80001037916008499</c:v>
                </c:pt>
                <c:pt idx="9">
                  <c:v>0.90001037916044879</c:v>
                </c:pt>
                <c:pt idx="10">
                  <c:v>1.0000103791608126</c:v>
                </c:pt>
                <c:pt idx="11">
                  <c:v>1.1000103791611764</c:v>
                </c:pt>
              </c:numCache>
            </c:numRef>
          </c:cat>
          <c:val>
            <c:numRef>
              <c:f>[0]!row_wacc_data</c:f>
              <c:numCache>
                <c:formatCode>General</c:formatCode>
                <c:ptCount val="12"/>
                <c:pt idx="0">
                  <c:v>0.10999964718998927</c:v>
                </c:pt>
                <c:pt idx="1">
                  <c:v>0.10694043857594117</c:v>
                </c:pt>
                <c:pt idx="2">
                  <c:v>0.10443836645034804</c:v>
                </c:pt>
                <c:pt idx="3">
                  <c:v>0.10235486311113892</c:v>
                </c:pt>
                <c:pt idx="4">
                  <c:v>0.10059366785104967</c:v>
                </c:pt>
                <c:pt idx="5">
                  <c:v>9.9085848595031001E-2</c:v>
                </c:pt>
                <c:pt idx="6">
                  <c:v>9.7780761176277944E-2</c:v>
                </c:pt>
                <c:pt idx="7">
                  <c:v>9.6640371705298059E-2</c:v>
                </c:pt>
                <c:pt idx="8">
                  <c:v>9.5635568469120566E-2</c:v>
                </c:pt>
                <c:pt idx="9">
                  <c:v>9.4743695365755026E-2</c:v>
                </c:pt>
                <c:pt idx="10">
                  <c:v>9.3946859852676895E-2</c:v>
                </c:pt>
                <c:pt idx="11">
                  <c:v>9.3230745978512275E-2</c:v>
                </c:pt>
              </c:numCache>
            </c:numRef>
          </c:val>
          <c:smooth val="0"/>
          <c:extLst>
            <c:ext xmlns:c16="http://schemas.microsoft.com/office/drawing/2014/chart" uri="{C3380CC4-5D6E-409C-BE32-E72D297353CC}">
              <c16:uniqueId val="{00000000-07F9-422F-986B-08257B3586A2}"/>
            </c:ext>
          </c:extLst>
        </c:ser>
        <c:ser>
          <c:idx val="1"/>
          <c:order val="1"/>
          <c:tx>
            <c:strRef>
              <c:f>Main!$B$44</c:f>
              <c:strCache>
                <c:ptCount val="1"/>
                <c:pt idx="0">
                  <c:v>Cost of equity</c:v>
                </c:pt>
              </c:strCache>
            </c:strRef>
          </c:tx>
          <c:spPr>
            <a:ln w="38100">
              <a:solidFill>
                <a:srgbClr val="FF00FF"/>
              </a:solidFill>
              <a:prstDash val="solid"/>
            </a:ln>
          </c:spPr>
          <c:marker>
            <c:symbol val="none"/>
          </c:marker>
          <c:cat>
            <c:numRef>
              <c:f>[0]!assumptions_vary_x_axis</c:f>
              <c:numCache>
                <c:formatCode>0%</c:formatCode>
                <c:ptCount val="12"/>
                <c:pt idx="0">
                  <c:v>1.0379157174611464E-5</c:v>
                </c:pt>
                <c:pt idx="1">
                  <c:v>0.10001037915753841</c:v>
                </c:pt>
                <c:pt idx="2">
                  <c:v>0.20001037915790221</c:v>
                </c:pt>
                <c:pt idx="3">
                  <c:v>0.30001037915826601</c:v>
                </c:pt>
                <c:pt idx="4">
                  <c:v>0.4000103791586298</c:v>
                </c:pt>
                <c:pt idx="5">
                  <c:v>0.5000103791589936</c:v>
                </c:pt>
                <c:pt idx="6">
                  <c:v>0.6000103791593574</c:v>
                </c:pt>
                <c:pt idx="7">
                  <c:v>0.7000103791597212</c:v>
                </c:pt>
                <c:pt idx="8">
                  <c:v>0.80001037916008499</c:v>
                </c:pt>
                <c:pt idx="9">
                  <c:v>0.90001037916044879</c:v>
                </c:pt>
                <c:pt idx="10">
                  <c:v>1.0000103791608126</c:v>
                </c:pt>
                <c:pt idx="11">
                  <c:v>1.1000103791611764</c:v>
                </c:pt>
              </c:numCache>
            </c:numRef>
          </c:cat>
          <c:val>
            <c:numRef>
              <c:f>[0]!row_coe_data</c:f>
              <c:numCache>
                <c:formatCode>General</c:formatCode>
                <c:ptCount val="12"/>
                <c:pt idx="0">
                  <c:v>0.11000052387501102</c:v>
                </c:pt>
                <c:pt idx="1">
                  <c:v>0.11500722491030264</c:v>
                </c:pt>
                <c:pt idx="2">
                  <c:v>0.11993207924953005</c:v>
                </c:pt>
                <c:pt idx="3">
                  <c:v>0.12477459261223051</c:v>
                </c:pt>
                <c:pt idx="4">
                  <c:v>0.12953240094578611</c:v>
                </c:pt>
                <c:pt idx="5">
                  <c:v>0.13419618533285158</c:v>
                </c:pt>
                <c:pt idx="6">
                  <c:v>0.13874863933821832</c:v>
                </c:pt>
                <c:pt idx="7">
                  <c:v>0.14316760274211068</c:v>
                </c:pt>
                <c:pt idx="8">
                  <c:v>0.14742798638892329</c:v>
                </c:pt>
                <c:pt idx="9">
                  <c:v>0.15150062187726276</c:v>
                </c:pt>
                <c:pt idx="10">
                  <c:v>0.15534651357417956</c:v>
                </c:pt>
                <c:pt idx="11">
                  <c:v>0.15889981898056083</c:v>
                </c:pt>
              </c:numCache>
            </c:numRef>
          </c:val>
          <c:smooth val="0"/>
          <c:extLst>
            <c:ext xmlns:c16="http://schemas.microsoft.com/office/drawing/2014/chart" uri="{C3380CC4-5D6E-409C-BE32-E72D297353CC}">
              <c16:uniqueId val="{00000001-07F9-422F-986B-08257B3586A2}"/>
            </c:ext>
          </c:extLst>
        </c:ser>
        <c:ser>
          <c:idx val="2"/>
          <c:order val="2"/>
          <c:tx>
            <c:strRef>
              <c:f>Main!$B$103</c:f>
              <c:strCache>
                <c:ptCount val="1"/>
                <c:pt idx="0">
                  <c:v>Cost of debt (post-tax)</c:v>
                </c:pt>
              </c:strCache>
            </c:strRef>
          </c:tx>
          <c:spPr>
            <a:ln w="38100">
              <a:solidFill>
                <a:srgbClr val="339966"/>
              </a:solidFill>
              <a:prstDash val="solid"/>
            </a:ln>
          </c:spPr>
          <c:marker>
            <c:symbol val="none"/>
          </c:marker>
          <c:cat>
            <c:numRef>
              <c:f>[0]!assumptions_vary_x_axis</c:f>
              <c:numCache>
                <c:formatCode>0%</c:formatCode>
                <c:ptCount val="12"/>
                <c:pt idx="0">
                  <c:v>1.0379157174611464E-5</c:v>
                </c:pt>
                <c:pt idx="1">
                  <c:v>0.10001037915753841</c:v>
                </c:pt>
                <c:pt idx="2">
                  <c:v>0.20001037915790221</c:v>
                </c:pt>
                <c:pt idx="3">
                  <c:v>0.30001037915826601</c:v>
                </c:pt>
                <c:pt idx="4">
                  <c:v>0.4000103791586298</c:v>
                </c:pt>
                <c:pt idx="5">
                  <c:v>0.5000103791589936</c:v>
                </c:pt>
                <c:pt idx="6">
                  <c:v>0.6000103791593574</c:v>
                </c:pt>
                <c:pt idx="7">
                  <c:v>0.7000103791597212</c:v>
                </c:pt>
                <c:pt idx="8">
                  <c:v>0.80001037916008499</c:v>
                </c:pt>
                <c:pt idx="9">
                  <c:v>0.90001037916044879</c:v>
                </c:pt>
                <c:pt idx="10">
                  <c:v>1.0000103791608126</c:v>
                </c:pt>
                <c:pt idx="11">
                  <c:v>1.1000103791611764</c:v>
                </c:pt>
              </c:numCache>
            </c:numRef>
          </c:cat>
          <c:val>
            <c:numRef>
              <c:f>[0]!row_interest_rate_data</c:f>
              <c:numCache>
                <c:formatCode>General</c:formatCode>
                <c:ptCount val="12"/>
                <c:pt idx="0">
                  <c:v>2.8000000000000101E-2</c:v>
                </c:pt>
                <c:pt idx="1">
                  <c:v>2.8000000001000402E-2</c:v>
                </c:pt>
                <c:pt idx="2">
                  <c:v>2.8000002527012392E-2</c:v>
                </c:pt>
                <c:pt idx="3">
                  <c:v>2.8000514659009209E-2</c:v>
                </c:pt>
                <c:pt idx="4">
                  <c:v>2.800736689446804E-2</c:v>
                </c:pt>
                <c:pt idx="5">
                  <c:v>2.8036661900753795E-2</c:v>
                </c:pt>
                <c:pt idx="6">
                  <c:v>2.8108361479374875E-2</c:v>
                </c:pt>
                <c:pt idx="7">
                  <c:v>2.823935851699249E-2</c:v>
                </c:pt>
                <c:pt idx="8">
                  <c:v>2.8443132256170827E-2</c:v>
                </c:pt>
                <c:pt idx="9">
                  <c:v>2.8733109122524917E-2</c:v>
                </c:pt>
                <c:pt idx="10">
                  <c:v>2.9128929166853133E-2</c:v>
                </c:pt>
                <c:pt idx="11">
                  <c:v>2.9670492209720428E-2</c:v>
                </c:pt>
              </c:numCache>
            </c:numRef>
          </c:val>
          <c:smooth val="0"/>
          <c:extLst>
            <c:ext xmlns:c16="http://schemas.microsoft.com/office/drawing/2014/chart" uri="{C3380CC4-5D6E-409C-BE32-E72D297353CC}">
              <c16:uniqueId val="{00000002-07F9-422F-986B-08257B3586A2}"/>
            </c:ext>
          </c:extLst>
        </c:ser>
        <c:dLbls>
          <c:showLegendKey val="0"/>
          <c:showVal val="0"/>
          <c:showCatName val="0"/>
          <c:showSerName val="0"/>
          <c:showPercent val="0"/>
          <c:showBubbleSize val="0"/>
        </c:dLbls>
        <c:smooth val="0"/>
        <c:axId val="387938728"/>
        <c:axId val="1"/>
      </c:lineChart>
      <c:catAx>
        <c:axId val="387938728"/>
        <c:scaling>
          <c:orientation val="minMax"/>
        </c:scaling>
        <c:delete val="0"/>
        <c:axPos val="b"/>
        <c:majorGridlines>
          <c:spPr>
            <a:ln w="3175">
              <a:solidFill>
                <a:srgbClr val="C0C0C0"/>
              </a:solidFill>
              <a:prstDash val="sysDash"/>
            </a:ln>
          </c:spPr>
        </c:majorGridlines>
        <c:title>
          <c:tx>
            <c:strRef>
              <c:f>'Assumptions vary'!$F$185</c:f>
              <c:strCache>
                <c:ptCount val="1"/>
                <c:pt idx="0">
                  <c:v>Debt / equity ratio</c:v>
                </c:pt>
              </c:strCache>
            </c:strRef>
          </c:tx>
          <c:layout>
            <c:manualLayout>
              <c:xMode val="edge"/>
              <c:yMode val="edge"/>
              <c:x val="0.42335766423357662"/>
              <c:y val="0.77469138938277871"/>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en-US"/>
            </a:p>
          </c:tx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87938728"/>
        <c:crosses val="autoZero"/>
        <c:crossBetween val="midCat"/>
      </c:valAx>
      <c:spPr>
        <a:solidFill>
          <a:srgbClr val="FFFFCC"/>
        </a:solidFill>
        <a:ln w="12700">
          <a:solidFill>
            <a:srgbClr val="808080"/>
          </a:solidFill>
          <a:prstDash val="solid"/>
        </a:ln>
      </c:spPr>
    </c:plotArea>
    <c:legend>
      <c:legendPos val="r"/>
      <c:layout>
        <c:manualLayout>
          <c:xMode val="edge"/>
          <c:yMode val="edge"/>
          <c:x val="0.15505279239979991"/>
          <c:y val="0.77353385531856222"/>
          <c:w val="0.6759604882148581"/>
          <c:h val="0.2088247290023495"/>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CCCC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Charts!$B$109</c:f>
          <c:strCache>
            <c:ptCount val="1"/>
            <c:pt idx="0">
              <c:v>Market value (in base year) as function of debt / equity ratio</c:v>
            </c:pt>
          </c:strCache>
        </c:strRef>
      </c:tx>
      <c:layout>
        <c:manualLayout>
          <c:xMode val="edge"/>
          <c:yMode val="edge"/>
          <c:x val="0.11830380577427821"/>
          <c:y val="1.5432147227930819E-2"/>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0714297391943133"/>
          <c:y val="0.10557184750733138"/>
          <c:w val="0.83928662903554541"/>
          <c:h val="0.54838709677419351"/>
        </c:manualLayout>
      </c:layout>
      <c:lineChart>
        <c:grouping val="standard"/>
        <c:varyColors val="0"/>
        <c:ser>
          <c:idx val="0"/>
          <c:order val="0"/>
          <c:tx>
            <c:strRef>
              <c:f>Main!$B$94</c:f>
              <c:strCache>
                <c:ptCount val="1"/>
                <c:pt idx="0">
                  <c:v>Market value of firm</c:v>
                </c:pt>
              </c:strCache>
            </c:strRef>
          </c:tx>
          <c:spPr>
            <a:ln w="38100">
              <a:solidFill>
                <a:srgbClr val="000080"/>
              </a:solidFill>
              <a:prstDash val="solid"/>
            </a:ln>
          </c:spPr>
          <c:marker>
            <c:symbol val="none"/>
          </c:marker>
          <c:cat>
            <c:numRef>
              <c:f>[0]!assumptions_vary_x_axis</c:f>
              <c:numCache>
                <c:formatCode>0%</c:formatCode>
                <c:ptCount val="12"/>
                <c:pt idx="0">
                  <c:v>1.0379157174611464E-5</c:v>
                </c:pt>
                <c:pt idx="1">
                  <c:v>0.10001037915753841</c:v>
                </c:pt>
                <c:pt idx="2">
                  <c:v>0.20001037915790221</c:v>
                </c:pt>
                <c:pt idx="3">
                  <c:v>0.30001037915826601</c:v>
                </c:pt>
                <c:pt idx="4">
                  <c:v>0.4000103791586298</c:v>
                </c:pt>
                <c:pt idx="5">
                  <c:v>0.5000103791589936</c:v>
                </c:pt>
                <c:pt idx="6">
                  <c:v>0.6000103791593574</c:v>
                </c:pt>
                <c:pt idx="7">
                  <c:v>0.7000103791597212</c:v>
                </c:pt>
                <c:pt idx="8">
                  <c:v>0.80001037916008499</c:v>
                </c:pt>
                <c:pt idx="9">
                  <c:v>0.90001037916044879</c:v>
                </c:pt>
                <c:pt idx="10">
                  <c:v>1.0000103791608126</c:v>
                </c:pt>
                <c:pt idx="11">
                  <c:v>1.1000103791611764</c:v>
                </c:pt>
              </c:numCache>
            </c:numRef>
          </c:cat>
          <c:val>
            <c:numRef>
              <c:f>[0]!row_mvf_data</c:f>
              <c:numCache>
                <c:formatCode>General</c:formatCode>
                <c:ptCount val="12"/>
                <c:pt idx="0">
                  <c:v>116.49622899931205</c:v>
                </c:pt>
                <c:pt idx="1">
                  <c:v>117.67502521198918</c:v>
                </c:pt>
                <c:pt idx="2">
                  <c:v>118.67530219449839</c:v>
                </c:pt>
                <c:pt idx="3">
                  <c:v>119.53618188569057</c:v>
                </c:pt>
                <c:pt idx="4">
                  <c:v>120.28594387399662</c:v>
                </c:pt>
                <c:pt idx="5">
                  <c:v>120.94557035261261</c:v>
                </c:pt>
                <c:pt idx="6">
                  <c:v>121.53097879925936</c:v>
                </c:pt>
                <c:pt idx="7">
                  <c:v>122.05447789010991</c:v>
                </c:pt>
                <c:pt idx="8">
                  <c:v>122.52574567975965</c:v>
                </c:pt>
                <c:pt idx="9">
                  <c:v>122.95250409167279</c:v>
                </c:pt>
                <c:pt idx="10">
                  <c:v>123.34099471577741</c:v>
                </c:pt>
                <c:pt idx="11">
                  <c:v>123.6963212725091</c:v>
                </c:pt>
              </c:numCache>
            </c:numRef>
          </c:val>
          <c:smooth val="0"/>
          <c:extLst>
            <c:ext xmlns:c16="http://schemas.microsoft.com/office/drawing/2014/chart" uri="{C3380CC4-5D6E-409C-BE32-E72D297353CC}">
              <c16:uniqueId val="{00000000-57E7-4304-830B-63AFB1CF53F5}"/>
            </c:ext>
          </c:extLst>
        </c:ser>
        <c:ser>
          <c:idx val="1"/>
          <c:order val="1"/>
          <c:tx>
            <c:strRef>
              <c:f>Main!$B$92</c:f>
              <c:strCache>
                <c:ptCount val="1"/>
                <c:pt idx="0">
                  <c:v>Market value of equity</c:v>
                </c:pt>
              </c:strCache>
            </c:strRef>
          </c:tx>
          <c:spPr>
            <a:ln w="38100">
              <a:solidFill>
                <a:srgbClr val="FF00FF"/>
              </a:solidFill>
              <a:prstDash val="solid"/>
            </a:ln>
          </c:spPr>
          <c:marker>
            <c:symbol val="none"/>
          </c:marker>
          <c:cat>
            <c:numRef>
              <c:f>[0]!assumptions_vary_x_axis</c:f>
              <c:numCache>
                <c:formatCode>0%</c:formatCode>
                <c:ptCount val="12"/>
                <c:pt idx="0">
                  <c:v>1.0379157174611464E-5</c:v>
                </c:pt>
                <c:pt idx="1">
                  <c:v>0.10001037915753841</c:v>
                </c:pt>
                <c:pt idx="2">
                  <c:v>0.20001037915790221</c:v>
                </c:pt>
                <c:pt idx="3">
                  <c:v>0.30001037915826601</c:v>
                </c:pt>
                <c:pt idx="4">
                  <c:v>0.4000103791586298</c:v>
                </c:pt>
                <c:pt idx="5">
                  <c:v>0.5000103791589936</c:v>
                </c:pt>
                <c:pt idx="6">
                  <c:v>0.6000103791593574</c:v>
                </c:pt>
                <c:pt idx="7">
                  <c:v>0.7000103791597212</c:v>
                </c:pt>
                <c:pt idx="8">
                  <c:v>0.80001037916008499</c:v>
                </c:pt>
                <c:pt idx="9">
                  <c:v>0.90001037916044879</c:v>
                </c:pt>
                <c:pt idx="10">
                  <c:v>1.0000103791608126</c:v>
                </c:pt>
                <c:pt idx="11">
                  <c:v>1.1000103791611764</c:v>
                </c:pt>
              </c:numCache>
            </c:numRef>
          </c:cat>
          <c:val>
            <c:numRef>
              <c:f>[0]!row_mve_data</c:f>
              <c:numCache>
                <c:formatCode>General</c:formatCode>
                <c:ptCount val="12"/>
                <c:pt idx="0">
                  <c:v>116.49498351337819</c:v>
                </c:pt>
                <c:pt idx="1">
                  <c:v>106.7649049746729</c:v>
                </c:pt>
                <c:pt idx="2">
                  <c:v>98.674437272154165</c:v>
                </c:pt>
                <c:pt idx="3">
                  <c:v>91.843137217614839</c:v>
                </c:pt>
                <c:pt idx="4">
                  <c:v>85.999594134301759</c:v>
                </c:pt>
                <c:pt idx="5">
                  <c:v>80.945016801296532</c:v>
                </c:pt>
                <c:pt idx="6">
                  <c:v>76.530492279320526</c:v>
                </c:pt>
                <c:pt idx="7">
                  <c:v>72.642282218289026</c:v>
                </c:pt>
                <c:pt idx="8">
                  <c:v>69.192027935306413</c:v>
                </c:pt>
                <c:pt idx="9">
                  <c:v>66.110053816755865</c:v>
                </c:pt>
                <c:pt idx="10">
                  <c:v>63.34068334256893</c:v>
                </c:pt>
                <c:pt idx="11">
                  <c:v>60.838895990607654</c:v>
                </c:pt>
              </c:numCache>
            </c:numRef>
          </c:val>
          <c:smooth val="0"/>
          <c:extLst>
            <c:ext xmlns:c16="http://schemas.microsoft.com/office/drawing/2014/chart" uri="{C3380CC4-5D6E-409C-BE32-E72D297353CC}">
              <c16:uniqueId val="{00000001-57E7-4304-830B-63AFB1CF53F5}"/>
            </c:ext>
          </c:extLst>
        </c:ser>
        <c:ser>
          <c:idx val="2"/>
          <c:order val="2"/>
          <c:tx>
            <c:strRef>
              <c:f>Main!$B$93</c:f>
              <c:strCache>
                <c:ptCount val="1"/>
                <c:pt idx="0">
                  <c:v>Market value of debt</c:v>
                </c:pt>
              </c:strCache>
            </c:strRef>
          </c:tx>
          <c:spPr>
            <a:ln w="38100">
              <a:solidFill>
                <a:srgbClr val="008000"/>
              </a:solidFill>
              <a:prstDash val="solid"/>
            </a:ln>
          </c:spPr>
          <c:marker>
            <c:symbol val="none"/>
          </c:marker>
          <c:cat>
            <c:numRef>
              <c:f>[0]!assumptions_vary_x_axis</c:f>
              <c:numCache>
                <c:formatCode>0%</c:formatCode>
                <c:ptCount val="12"/>
                <c:pt idx="0">
                  <c:v>1.0379157174611464E-5</c:v>
                </c:pt>
                <c:pt idx="1">
                  <c:v>0.10001037915753841</c:v>
                </c:pt>
                <c:pt idx="2">
                  <c:v>0.20001037915790221</c:v>
                </c:pt>
                <c:pt idx="3">
                  <c:v>0.30001037915826601</c:v>
                </c:pt>
                <c:pt idx="4">
                  <c:v>0.4000103791586298</c:v>
                </c:pt>
                <c:pt idx="5">
                  <c:v>0.5000103791589936</c:v>
                </c:pt>
                <c:pt idx="6">
                  <c:v>0.6000103791593574</c:v>
                </c:pt>
                <c:pt idx="7">
                  <c:v>0.7000103791597212</c:v>
                </c:pt>
                <c:pt idx="8">
                  <c:v>0.80001037916008499</c:v>
                </c:pt>
                <c:pt idx="9">
                  <c:v>0.90001037916044879</c:v>
                </c:pt>
                <c:pt idx="10">
                  <c:v>1.0000103791608126</c:v>
                </c:pt>
                <c:pt idx="11">
                  <c:v>1.1000103791611764</c:v>
                </c:pt>
              </c:numCache>
            </c:numRef>
          </c:cat>
          <c:val>
            <c:numRef>
              <c:f>[0]!row_mvd_data</c:f>
              <c:numCache>
                <c:formatCode>General</c:formatCode>
                <c:ptCount val="12"/>
                <c:pt idx="0">
                  <c:v>1.2454859338676106E-3</c:v>
                </c:pt>
                <c:pt idx="1">
                  <c:v>10.910120237317276</c:v>
                </c:pt>
                <c:pt idx="2">
                  <c:v>20.000864922346217</c:v>
                </c:pt>
                <c:pt idx="3">
                  <c:v>27.693044668078723</c:v>
                </c:pt>
                <c:pt idx="4">
                  <c:v>34.286349739698856</c:v>
                </c:pt>
                <c:pt idx="5">
                  <c:v>40.000553551321069</c:v>
                </c:pt>
                <c:pt idx="6">
                  <c:v>45.000486519944829</c:v>
                </c:pt>
                <c:pt idx="7">
                  <c:v>49.412195671827874</c:v>
                </c:pt>
                <c:pt idx="8">
                  <c:v>53.333717744461239</c:v>
                </c:pt>
                <c:pt idx="9">
                  <c:v>56.842450274925923</c:v>
                </c:pt>
                <c:pt idx="10">
                  <c:v>60.00031137321848</c:v>
                </c:pt>
                <c:pt idx="11">
                  <c:v>62.857425281912434</c:v>
                </c:pt>
              </c:numCache>
            </c:numRef>
          </c:val>
          <c:smooth val="0"/>
          <c:extLst>
            <c:ext xmlns:c16="http://schemas.microsoft.com/office/drawing/2014/chart" uri="{C3380CC4-5D6E-409C-BE32-E72D297353CC}">
              <c16:uniqueId val="{00000002-57E7-4304-830B-63AFB1CF53F5}"/>
            </c:ext>
          </c:extLst>
        </c:ser>
        <c:dLbls>
          <c:showLegendKey val="0"/>
          <c:showVal val="0"/>
          <c:showCatName val="0"/>
          <c:showSerName val="0"/>
          <c:showPercent val="0"/>
          <c:showBubbleSize val="0"/>
        </c:dLbls>
        <c:smooth val="0"/>
        <c:axId val="387935448"/>
        <c:axId val="1"/>
      </c:lineChart>
      <c:catAx>
        <c:axId val="387935448"/>
        <c:scaling>
          <c:orientation val="minMax"/>
        </c:scaling>
        <c:delete val="0"/>
        <c:axPos val="b"/>
        <c:majorGridlines>
          <c:spPr>
            <a:ln w="3175">
              <a:solidFill>
                <a:srgbClr val="C0C0C0"/>
              </a:solidFill>
              <a:prstDash val="sysDash"/>
            </a:ln>
          </c:spPr>
        </c:majorGridlines>
        <c:title>
          <c:tx>
            <c:strRef>
              <c:f>'Assumptions vary'!$F$185</c:f>
              <c:strCache>
                <c:ptCount val="1"/>
                <c:pt idx="0">
                  <c:v>Debt / equity ratio</c:v>
                </c:pt>
              </c:strCache>
            </c:strRef>
          </c:tx>
          <c:layout>
            <c:manualLayout>
              <c:xMode val="edge"/>
              <c:yMode val="edge"/>
              <c:x val="0.4375"/>
              <c:y val="0.77777788040424567"/>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en-US"/>
            </a:p>
          </c:tx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87935448"/>
        <c:crosses val="autoZero"/>
        <c:crossBetween val="midCat"/>
      </c:valAx>
      <c:spPr>
        <a:solidFill>
          <a:srgbClr val="FFFFCC"/>
        </a:solidFill>
        <a:ln w="12700">
          <a:solidFill>
            <a:srgbClr val="808080"/>
          </a:solidFill>
          <a:prstDash val="solid"/>
        </a:ln>
      </c:spPr>
    </c:plotArea>
    <c:legend>
      <c:legendPos val="r"/>
      <c:layout>
        <c:manualLayout>
          <c:xMode val="edge"/>
          <c:yMode val="edge"/>
          <c:x val="8.5287935276118651E-2"/>
          <c:y val="0.79118101551594389"/>
          <c:w val="0.87846573334402211"/>
          <c:h val="0.19117756880496786"/>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CCCC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Charts!$B$110</c:f>
          <c:strCache>
            <c:ptCount val="1"/>
            <c:pt idx="0">
              <c:v>P/E &amp; EV/EBITDA (in base year) as function of debt / equity ratio</c:v>
            </c:pt>
          </c:strCache>
        </c:strRef>
      </c:tx>
      <c:layout>
        <c:manualLayout>
          <c:xMode val="edge"/>
          <c:yMode val="edge"/>
          <c:x val="0.15875912408759124"/>
          <c:y val="1.5480006175698627E-2"/>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6.2043795620437957E-2"/>
          <c:y val="0.1058825050012997"/>
          <c:w val="0.88503649635036497"/>
          <c:h val="0.60882440375747326"/>
        </c:manualLayout>
      </c:layout>
      <c:lineChart>
        <c:grouping val="standard"/>
        <c:varyColors val="0"/>
        <c:ser>
          <c:idx val="1"/>
          <c:order val="0"/>
          <c:tx>
            <c:strRef>
              <c:f>Main!$B$120</c:f>
              <c:strCache>
                <c:ptCount val="1"/>
                <c:pt idx="0">
                  <c:v>Enterprise value / EBITDA</c:v>
                </c:pt>
              </c:strCache>
            </c:strRef>
          </c:tx>
          <c:spPr>
            <a:ln w="38100">
              <a:solidFill>
                <a:srgbClr val="000080"/>
              </a:solidFill>
              <a:prstDash val="solid"/>
            </a:ln>
          </c:spPr>
          <c:marker>
            <c:symbol val="none"/>
          </c:marker>
          <c:cat>
            <c:numRef>
              <c:f>[0]!assumptions_vary_x_axis</c:f>
              <c:numCache>
                <c:formatCode>0%</c:formatCode>
                <c:ptCount val="12"/>
                <c:pt idx="0">
                  <c:v>1.0379157174611464E-5</c:v>
                </c:pt>
                <c:pt idx="1">
                  <c:v>0.10001037915753841</c:v>
                </c:pt>
                <c:pt idx="2">
                  <c:v>0.20001037915790221</c:v>
                </c:pt>
                <c:pt idx="3">
                  <c:v>0.30001037915826601</c:v>
                </c:pt>
                <c:pt idx="4">
                  <c:v>0.4000103791586298</c:v>
                </c:pt>
                <c:pt idx="5">
                  <c:v>0.5000103791589936</c:v>
                </c:pt>
                <c:pt idx="6">
                  <c:v>0.6000103791593574</c:v>
                </c:pt>
                <c:pt idx="7">
                  <c:v>0.7000103791597212</c:v>
                </c:pt>
                <c:pt idx="8">
                  <c:v>0.80001037916008499</c:v>
                </c:pt>
                <c:pt idx="9">
                  <c:v>0.90001037916044879</c:v>
                </c:pt>
                <c:pt idx="10">
                  <c:v>1.0000103791608126</c:v>
                </c:pt>
                <c:pt idx="11">
                  <c:v>1.1000103791611764</c:v>
                </c:pt>
              </c:numCache>
            </c:numRef>
          </c:cat>
          <c:val>
            <c:numRef>
              <c:f>[0]!row_ev_ebitda_data</c:f>
              <c:numCache>
                <c:formatCode>General</c:formatCode>
                <c:ptCount val="12"/>
                <c:pt idx="0">
                  <c:v>5.071353252457615</c:v>
                </c:pt>
                <c:pt idx="1">
                  <c:v>5.1226690079855608</c:v>
                </c:pt>
                <c:pt idx="2">
                  <c:v>5.1662134039912715</c:v>
                </c:pt>
                <c:pt idx="3">
                  <c:v>5.2036895099520866</c:v>
                </c:pt>
                <c:pt idx="4">
                  <c:v>5.2363284024788044</c:v>
                </c:pt>
                <c:pt idx="5">
                  <c:v>5.2650434855040888</c:v>
                </c:pt>
                <c:pt idx="6">
                  <c:v>5.2905276840531004</c:v>
                </c:pt>
                <c:pt idx="7">
                  <c:v>5.3133168235811317</c:v>
                </c:pt>
                <c:pt idx="8">
                  <c:v>5.3338322124350004</c:v>
                </c:pt>
                <c:pt idx="9">
                  <c:v>5.3524100039993403</c:v>
                </c:pt>
                <c:pt idx="10">
                  <c:v>5.3693219092784821</c:v>
                </c:pt>
                <c:pt idx="11">
                  <c:v>5.3847901051570624</c:v>
                </c:pt>
              </c:numCache>
            </c:numRef>
          </c:val>
          <c:smooth val="0"/>
          <c:extLst>
            <c:ext xmlns:c16="http://schemas.microsoft.com/office/drawing/2014/chart" uri="{C3380CC4-5D6E-409C-BE32-E72D297353CC}">
              <c16:uniqueId val="{00000000-25A7-4357-8C49-D246B90EE755}"/>
            </c:ext>
          </c:extLst>
        </c:ser>
        <c:ser>
          <c:idx val="0"/>
          <c:order val="1"/>
          <c:tx>
            <c:strRef>
              <c:f>Main!$B$121</c:f>
              <c:strCache>
                <c:ptCount val="1"/>
                <c:pt idx="0">
                  <c:v>P/E ratio</c:v>
                </c:pt>
              </c:strCache>
            </c:strRef>
          </c:tx>
          <c:spPr>
            <a:ln w="38100">
              <a:solidFill>
                <a:srgbClr val="FF00FF"/>
              </a:solidFill>
              <a:prstDash val="solid"/>
            </a:ln>
          </c:spPr>
          <c:marker>
            <c:symbol val="none"/>
          </c:marker>
          <c:cat>
            <c:numRef>
              <c:f>[0]!assumptions_vary_x_axis</c:f>
              <c:numCache>
                <c:formatCode>0%</c:formatCode>
                <c:ptCount val="12"/>
                <c:pt idx="0">
                  <c:v>1.0379157174611464E-5</c:v>
                </c:pt>
                <c:pt idx="1">
                  <c:v>0.10001037915753841</c:v>
                </c:pt>
                <c:pt idx="2">
                  <c:v>0.20001037915790221</c:v>
                </c:pt>
                <c:pt idx="3">
                  <c:v>0.30001037915826601</c:v>
                </c:pt>
                <c:pt idx="4">
                  <c:v>0.4000103791586298</c:v>
                </c:pt>
                <c:pt idx="5">
                  <c:v>0.5000103791589936</c:v>
                </c:pt>
                <c:pt idx="6">
                  <c:v>0.6000103791593574</c:v>
                </c:pt>
                <c:pt idx="7">
                  <c:v>0.7000103791597212</c:v>
                </c:pt>
                <c:pt idx="8">
                  <c:v>0.80001037916008499</c:v>
                </c:pt>
                <c:pt idx="9">
                  <c:v>0.90001037916044879</c:v>
                </c:pt>
                <c:pt idx="10">
                  <c:v>1.0000103791608126</c:v>
                </c:pt>
                <c:pt idx="11">
                  <c:v>1.1000103791611764</c:v>
                </c:pt>
              </c:numCache>
            </c:numRef>
          </c:cat>
          <c:val>
            <c:numRef>
              <c:f>[0]!row_pe_data</c:f>
              <c:numCache>
                <c:formatCode>General</c:formatCode>
                <c:ptCount val="12"/>
                <c:pt idx="0">
                  <c:v>8.0899490027134355</c:v>
                </c:pt>
                <c:pt idx="1">
                  <c:v>7.5749248982418695</c:v>
                </c:pt>
                <c:pt idx="2">
                  <c:v>7.1296683740831615</c:v>
                </c:pt>
                <c:pt idx="3">
                  <c:v>6.7409882629807276</c:v>
                </c:pt>
                <c:pt idx="4">
                  <c:v>6.3989080542172685</c:v>
                </c:pt>
                <c:pt idx="5">
                  <c:v>6.0959375718208548</c:v>
                </c:pt>
                <c:pt idx="6">
                  <c:v>5.8264066261352712</c:v>
                </c:pt>
                <c:pt idx="7">
                  <c:v>5.5858778760588867</c:v>
                </c:pt>
                <c:pt idx="8">
                  <c:v>5.3707917184396488</c:v>
                </c:pt>
                <c:pt idx="9">
                  <c:v>5.1783035845596013</c:v>
                </c:pt>
                <c:pt idx="10">
                  <c:v>5.0062761490697447</c:v>
                </c:pt>
                <c:pt idx="11">
                  <c:v>4.8535259791742407</c:v>
                </c:pt>
              </c:numCache>
            </c:numRef>
          </c:val>
          <c:smooth val="0"/>
          <c:extLst>
            <c:ext xmlns:c16="http://schemas.microsoft.com/office/drawing/2014/chart" uri="{C3380CC4-5D6E-409C-BE32-E72D297353CC}">
              <c16:uniqueId val="{00000001-25A7-4357-8C49-D246B90EE755}"/>
            </c:ext>
          </c:extLst>
        </c:ser>
        <c:dLbls>
          <c:showLegendKey val="0"/>
          <c:showVal val="0"/>
          <c:showCatName val="0"/>
          <c:showSerName val="0"/>
          <c:showPercent val="0"/>
          <c:showBubbleSize val="0"/>
        </c:dLbls>
        <c:smooth val="0"/>
        <c:axId val="387933152"/>
        <c:axId val="1"/>
      </c:lineChart>
      <c:catAx>
        <c:axId val="387933152"/>
        <c:scaling>
          <c:orientation val="minMax"/>
        </c:scaling>
        <c:delete val="0"/>
        <c:axPos val="b"/>
        <c:majorGridlines>
          <c:spPr>
            <a:ln w="3175">
              <a:solidFill>
                <a:srgbClr val="C0C0C0"/>
              </a:solidFill>
              <a:prstDash val="sysDash"/>
            </a:ln>
          </c:spPr>
        </c:majorGridlines>
        <c:title>
          <c:tx>
            <c:strRef>
              <c:f>'Assumptions vary'!$F$185</c:f>
              <c:strCache>
                <c:ptCount val="1"/>
                <c:pt idx="0">
                  <c:v>Debt / equity ratio</c:v>
                </c:pt>
              </c:strCache>
            </c:strRef>
          </c:tx>
          <c:layout>
            <c:manualLayout>
              <c:xMode val="edge"/>
              <c:yMode val="edge"/>
              <c:x val="0.41788321167883213"/>
              <c:y val="0.86377705727960474"/>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en-US"/>
            </a:p>
          </c:tx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87933152"/>
        <c:crosses val="autoZero"/>
        <c:crossBetween val="midCat"/>
      </c:valAx>
      <c:spPr>
        <a:solidFill>
          <a:srgbClr val="FFFFCC"/>
        </a:solidFill>
        <a:ln w="12700">
          <a:solidFill>
            <a:srgbClr val="808080"/>
          </a:solidFill>
          <a:prstDash val="solid"/>
        </a:ln>
      </c:spPr>
    </c:plotArea>
    <c:legend>
      <c:legendPos val="r"/>
      <c:layout>
        <c:manualLayout>
          <c:xMode val="edge"/>
          <c:yMode val="edge"/>
          <c:x val="7.4913146889790977E-2"/>
          <c:y val="0.89706397670023386"/>
          <c:w val="0.87456743578314111"/>
          <c:h val="8.5294607620677962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CCCC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Charts!$B$111</c:f>
          <c:strCache>
            <c:ptCount val="1"/>
            <c:pt idx="0">
              <c:v>Market/book value (in base year) as function of debt / equity ratio</c:v>
            </c:pt>
          </c:strCache>
        </c:strRef>
      </c:tx>
      <c:layout>
        <c:manualLayout>
          <c:xMode val="edge"/>
          <c:yMode val="edge"/>
          <c:x val="0.17410737720284963"/>
          <c:y val="1.5480006175698627E-2"/>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1607155507938394"/>
          <c:y val="0.13529431194610517"/>
          <c:w val="0.82142946671564021"/>
          <c:h val="0.56176551264578445"/>
        </c:manualLayout>
      </c:layout>
      <c:lineChart>
        <c:grouping val="standard"/>
        <c:varyColors val="0"/>
        <c:ser>
          <c:idx val="0"/>
          <c:order val="0"/>
          <c:tx>
            <c:v>Firm</c:v>
          </c:tx>
          <c:spPr>
            <a:ln w="38100">
              <a:solidFill>
                <a:srgbClr val="000080"/>
              </a:solidFill>
              <a:prstDash val="solid"/>
            </a:ln>
          </c:spPr>
          <c:marker>
            <c:symbol val="none"/>
          </c:marker>
          <c:cat>
            <c:numRef>
              <c:f>[0]!assumptions_vary_x_axis</c:f>
              <c:numCache>
                <c:formatCode>0%</c:formatCode>
                <c:ptCount val="12"/>
                <c:pt idx="0">
                  <c:v>1.0379157174611464E-5</c:v>
                </c:pt>
                <c:pt idx="1">
                  <c:v>0.10001037915753841</c:v>
                </c:pt>
                <c:pt idx="2">
                  <c:v>0.20001037915790221</c:v>
                </c:pt>
                <c:pt idx="3">
                  <c:v>0.30001037915826601</c:v>
                </c:pt>
                <c:pt idx="4">
                  <c:v>0.4000103791586298</c:v>
                </c:pt>
                <c:pt idx="5">
                  <c:v>0.5000103791589936</c:v>
                </c:pt>
                <c:pt idx="6">
                  <c:v>0.6000103791593574</c:v>
                </c:pt>
                <c:pt idx="7">
                  <c:v>0.7000103791597212</c:v>
                </c:pt>
                <c:pt idx="8">
                  <c:v>0.80001037916008499</c:v>
                </c:pt>
                <c:pt idx="9">
                  <c:v>0.90001037916044879</c:v>
                </c:pt>
                <c:pt idx="10">
                  <c:v>1.0000103791608126</c:v>
                </c:pt>
                <c:pt idx="11">
                  <c:v>1.1000103791611764</c:v>
                </c:pt>
              </c:numCache>
            </c:numRef>
          </c:cat>
          <c:val>
            <c:numRef>
              <c:f>[0]!row_mvf_f_data</c:f>
              <c:numCache>
                <c:formatCode>General</c:formatCode>
                <c:ptCount val="12"/>
                <c:pt idx="0">
                  <c:v>0.97080190832760049</c:v>
                </c:pt>
                <c:pt idx="1">
                  <c:v>0.98062521010090165</c:v>
                </c:pt>
                <c:pt idx="2">
                  <c:v>0.98896085162280323</c:v>
                </c:pt>
                <c:pt idx="3">
                  <c:v>0.99613484905039651</c:v>
                </c:pt>
                <c:pt idx="4">
                  <c:v>1.0023828656206053</c:v>
                </c:pt>
                <c:pt idx="5">
                  <c:v>1.0078797529433967</c:v>
                </c:pt>
                <c:pt idx="6">
                  <c:v>1.0127581566664448</c:v>
                </c:pt>
                <c:pt idx="7">
                  <c:v>1.017120649091191</c:v>
                </c:pt>
                <c:pt idx="8">
                  <c:v>1.0210478806725971</c:v>
                </c:pt>
                <c:pt idx="9">
                  <c:v>1.0246042007728651</c:v>
                </c:pt>
                <c:pt idx="10">
                  <c:v>1.0278416226413951</c:v>
                </c:pt>
                <c:pt idx="11">
                  <c:v>1.0308026772818175</c:v>
                </c:pt>
              </c:numCache>
            </c:numRef>
          </c:val>
          <c:smooth val="0"/>
          <c:extLst>
            <c:ext xmlns:c16="http://schemas.microsoft.com/office/drawing/2014/chart" uri="{C3380CC4-5D6E-409C-BE32-E72D297353CC}">
              <c16:uniqueId val="{00000000-4D39-423F-8584-6EE8EE1B0218}"/>
            </c:ext>
          </c:extLst>
        </c:ser>
        <c:ser>
          <c:idx val="1"/>
          <c:order val="1"/>
          <c:tx>
            <c:v>Equity</c:v>
          </c:tx>
          <c:spPr>
            <a:ln w="38100">
              <a:solidFill>
                <a:srgbClr val="FF00FF"/>
              </a:solidFill>
              <a:prstDash val="solid"/>
            </a:ln>
          </c:spPr>
          <c:marker>
            <c:symbol val="none"/>
          </c:marker>
          <c:cat>
            <c:numRef>
              <c:f>[0]!assumptions_vary_x_axis</c:f>
              <c:numCache>
                <c:formatCode>0%</c:formatCode>
                <c:ptCount val="12"/>
                <c:pt idx="0">
                  <c:v>1.0379157174611464E-5</c:v>
                </c:pt>
                <c:pt idx="1">
                  <c:v>0.10001037915753841</c:v>
                </c:pt>
                <c:pt idx="2">
                  <c:v>0.20001037915790221</c:v>
                </c:pt>
                <c:pt idx="3">
                  <c:v>0.30001037915826601</c:v>
                </c:pt>
                <c:pt idx="4">
                  <c:v>0.4000103791586298</c:v>
                </c:pt>
                <c:pt idx="5">
                  <c:v>0.5000103791589936</c:v>
                </c:pt>
                <c:pt idx="6">
                  <c:v>0.6000103791593574</c:v>
                </c:pt>
                <c:pt idx="7">
                  <c:v>0.7000103791597212</c:v>
                </c:pt>
                <c:pt idx="8">
                  <c:v>0.80001037916008499</c:v>
                </c:pt>
                <c:pt idx="9">
                  <c:v>0.90001037916044879</c:v>
                </c:pt>
                <c:pt idx="10">
                  <c:v>1.0000103791608126</c:v>
                </c:pt>
                <c:pt idx="11">
                  <c:v>1.1000103791611764</c:v>
                </c:pt>
              </c:numCache>
            </c:numRef>
          </c:cat>
          <c:val>
            <c:numRef>
              <c:f>[0]!row_mve_e_data</c:f>
              <c:numCache>
                <c:formatCode>General</c:formatCode>
                <c:ptCount val="12"/>
                <c:pt idx="0">
                  <c:v>0.97080160527601789</c:v>
                </c:pt>
                <c:pt idx="1">
                  <c:v>0.97868753001689512</c:v>
                </c:pt>
                <c:pt idx="2">
                  <c:v>0.98675290736989962</c:v>
                </c:pt>
                <c:pt idx="3">
                  <c:v>0.99497526364760203</c:v>
                </c:pt>
                <c:pt idx="4">
                  <c:v>1.0033360365993875</c:v>
                </c:pt>
                <c:pt idx="5">
                  <c:v>1.0118197111978033</c:v>
                </c:pt>
                <c:pt idx="6">
                  <c:v>1.0204131830816527</c:v>
                </c:pt>
                <c:pt idx="7">
                  <c:v>1.0291052811480761</c:v>
                </c:pt>
                <c:pt idx="8">
                  <c:v>1.0378864036635975</c:v>
                </c:pt>
                <c:pt idx="9">
                  <c:v>1.046748236831291</c:v>
                </c:pt>
                <c:pt idx="10">
                  <c:v>1.0556835342454689</c:v>
                </c:pt>
                <c:pt idx="11">
                  <c:v>1.0646859419856689</c:v>
                </c:pt>
              </c:numCache>
            </c:numRef>
          </c:val>
          <c:smooth val="0"/>
          <c:extLst>
            <c:ext xmlns:c16="http://schemas.microsoft.com/office/drawing/2014/chart" uri="{C3380CC4-5D6E-409C-BE32-E72D297353CC}">
              <c16:uniqueId val="{00000001-4D39-423F-8584-6EE8EE1B0218}"/>
            </c:ext>
          </c:extLst>
        </c:ser>
        <c:dLbls>
          <c:showLegendKey val="0"/>
          <c:showVal val="0"/>
          <c:showCatName val="0"/>
          <c:showSerName val="0"/>
          <c:showPercent val="0"/>
          <c:showBubbleSize val="0"/>
        </c:dLbls>
        <c:smooth val="0"/>
        <c:axId val="387945288"/>
        <c:axId val="1"/>
      </c:lineChart>
      <c:catAx>
        <c:axId val="387945288"/>
        <c:scaling>
          <c:orientation val="minMax"/>
        </c:scaling>
        <c:delete val="0"/>
        <c:axPos val="b"/>
        <c:majorGridlines>
          <c:spPr>
            <a:ln w="3175">
              <a:solidFill>
                <a:srgbClr val="C0C0C0"/>
              </a:solidFill>
              <a:prstDash val="sysDash"/>
            </a:ln>
          </c:spPr>
        </c:majorGridlines>
        <c:title>
          <c:tx>
            <c:strRef>
              <c:f>'Assumptions vary'!$F$185</c:f>
              <c:strCache>
                <c:ptCount val="1"/>
                <c:pt idx="0">
                  <c:v>Debt / equity ratio</c:v>
                </c:pt>
              </c:strCache>
            </c:strRef>
          </c:tx>
          <c:layout>
            <c:manualLayout>
              <c:xMode val="edge"/>
              <c:yMode val="edge"/>
              <c:x val="0.4174107142857143"/>
              <c:y val="0.86068117955843759"/>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en-US"/>
            </a:p>
          </c:tx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87945288"/>
        <c:crosses val="autoZero"/>
        <c:crossBetween val="midCat"/>
      </c:valAx>
      <c:spPr>
        <a:solidFill>
          <a:srgbClr val="FFFFCC"/>
        </a:solidFill>
        <a:ln w="12700">
          <a:solidFill>
            <a:srgbClr val="808080"/>
          </a:solidFill>
          <a:prstDash val="solid"/>
        </a:ln>
      </c:spPr>
    </c:plotArea>
    <c:legend>
      <c:legendPos val="r"/>
      <c:layout>
        <c:manualLayout>
          <c:xMode val="edge"/>
          <c:yMode val="edge"/>
          <c:x val="0.15351828349701357"/>
          <c:y val="0.89706397670023386"/>
          <c:w val="0.80597098835932124"/>
          <c:h val="8.5294607620677962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CCCC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2.xml"/><Relationship Id="rId3" Type="http://schemas.openxmlformats.org/officeDocument/2006/relationships/chart" Target="../charts/chart7.xml"/><Relationship Id="rId7" Type="http://schemas.openxmlformats.org/officeDocument/2006/relationships/chart" Target="../charts/chart11.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10.xml"/><Relationship Id="rId5" Type="http://schemas.openxmlformats.org/officeDocument/2006/relationships/chart" Target="../charts/chart9.xml"/><Relationship Id="rId4" Type="http://schemas.openxmlformats.org/officeDocument/2006/relationships/chart" Target="../charts/chart8.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11</xdr:col>
      <xdr:colOff>0</xdr:colOff>
      <xdr:row>3</xdr:row>
      <xdr:rowOff>0</xdr:rowOff>
    </xdr:from>
    <xdr:to>
      <xdr:col>16</xdr:col>
      <xdr:colOff>0</xdr:colOff>
      <xdr:row>19</xdr:row>
      <xdr:rowOff>0</xdr:rowOff>
    </xdr:to>
    <xdr:graphicFrame macro="">
      <xdr:nvGraphicFramePr>
        <xdr:cNvPr id="43674" name="chart_gen_model_1">
          <a:extLst>
            <a:ext uri="{FF2B5EF4-FFF2-40B4-BE49-F238E27FC236}">
              <a16:creationId xmlns:a16="http://schemas.microsoft.com/office/drawing/2014/main" id="{7DAF3A57-6951-4DE5-A214-45F7FD085C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7</xdr:row>
      <xdr:rowOff>0</xdr:rowOff>
    </xdr:from>
    <xdr:to>
      <xdr:col>15</xdr:col>
      <xdr:colOff>0</xdr:colOff>
      <xdr:row>24</xdr:row>
      <xdr:rowOff>0</xdr:rowOff>
    </xdr:to>
    <xdr:graphicFrame macro="">
      <xdr:nvGraphicFramePr>
        <xdr:cNvPr id="30780" name="chart_gen_model_2">
          <a:extLst>
            <a:ext uri="{FF2B5EF4-FFF2-40B4-BE49-F238E27FC236}">
              <a16:creationId xmlns:a16="http://schemas.microsoft.com/office/drawing/2014/main" id="{A1B17C52-ED89-4C69-910B-9AF094E511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29</xdr:row>
      <xdr:rowOff>0</xdr:rowOff>
    </xdr:from>
    <xdr:to>
      <xdr:col>7</xdr:col>
      <xdr:colOff>0</xdr:colOff>
      <xdr:row>47</xdr:row>
      <xdr:rowOff>0</xdr:rowOff>
    </xdr:to>
    <xdr:graphicFrame macro="">
      <xdr:nvGraphicFramePr>
        <xdr:cNvPr id="30781" name="chart_gen_model_3">
          <a:extLst>
            <a:ext uri="{FF2B5EF4-FFF2-40B4-BE49-F238E27FC236}">
              <a16:creationId xmlns:a16="http://schemas.microsoft.com/office/drawing/2014/main" id="{2E482C5C-1238-4074-A491-54C3EDE159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29</xdr:row>
      <xdr:rowOff>0</xdr:rowOff>
    </xdr:from>
    <xdr:to>
      <xdr:col>16</xdr:col>
      <xdr:colOff>0</xdr:colOff>
      <xdr:row>47</xdr:row>
      <xdr:rowOff>0</xdr:rowOff>
    </xdr:to>
    <xdr:graphicFrame macro="">
      <xdr:nvGraphicFramePr>
        <xdr:cNvPr id="30782" name="chart_gen_model_4">
          <a:extLst>
            <a:ext uri="{FF2B5EF4-FFF2-40B4-BE49-F238E27FC236}">
              <a16:creationId xmlns:a16="http://schemas.microsoft.com/office/drawing/2014/main" id="{75025418-09AF-476E-B244-7610344C8B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26</xdr:row>
      <xdr:rowOff>0</xdr:rowOff>
    </xdr:from>
    <xdr:to>
      <xdr:col>8</xdr:col>
      <xdr:colOff>0</xdr:colOff>
      <xdr:row>46</xdr:row>
      <xdr:rowOff>0</xdr:rowOff>
    </xdr:to>
    <xdr:graphicFrame macro="">
      <xdr:nvGraphicFramePr>
        <xdr:cNvPr id="3218" name="chart_growth_1">
          <a:extLst>
            <a:ext uri="{FF2B5EF4-FFF2-40B4-BE49-F238E27FC236}">
              <a16:creationId xmlns:a16="http://schemas.microsoft.com/office/drawing/2014/main" id="{1E6174C1-4189-4865-B0BB-B496E7B535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48</xdr:row>
      <xdr:rowOff>0</xdr:rowOff>
    </xdr:from>
    <xdr:to>
      <xdr:col>8</xdr:col>
      <xdr:colOff>0</xdr:colOff>
      <xdr:row>68</xdr:row>
      <xdr:rowOff>0</xdr:rowOff>
    </xdr:to>
    <xdr:graphicFrame macro="">
      <xdr:nvGraphicFramePr>
        <xdr:cNvPr id="3219" name="chart_growth_3">
          <a:extLst>
            <a:ext uri="{FF2B5EF4-FFF2-40B4-BE49-F238E27FC236}">
              <a16:creationId xmlns:a16="http://schemas.microsoft.com/office/drawing/2014/main" id="{3444F5F5-EF92-41E8-8697-2FD2C110AD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48</xdr:row>
      <xdr:rowOff>0</xdr:rowOff>
    </xdr:from>
    <xdr:to>
      <xdr:col>16</xdr:col>
      <xdr:colOff>0</xdr:colOff>
      <xdr:row>68</xdr:row>
      <xdr:rowOff>0</xdr:rowOff>
    </xdr:to>
    <xdr:graphicFrame macro="">
      <xdr:nvGraphicFramePr>
        <xdr:cNvPr id="3220" name="chart_growth_4">
          <a:extLst>
            <a:ext uri="{FF2B5EF4-FFF2-40B4-BE49-F238E27FC236}">
              <a16:creationId xmlns:a16="http://schemas.microsoft.com/office/drawing/2014/main" id="{62BFBA8C-2CFD-4288-A168-F3A2A4BD3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70</xdr:row>
      <xdr:rowOff>0</xdr:rowOff>
    </xdr:from>
    <xdr:to>
      <xdr:col>8</xdr:col>
      <xdr:colOff>0</xdr:colOff>
      <xdr:row>90</xdr:row>
      <xdr:rowOff>0</xdr:rowOff>
    </xdr:to>
    <xdr:graphicFrame macro="">
      <xdr:nvGraphicFramePr>
        <xdr:cNvPr id="3221" name="chart_growth_5">
          <a:extLst>
            <a:ext uri="{FF2B5EF4-FFF2-40B4-BE49-F238E27FC236}">
              <a16:creationId xmlns:a16="http://schemas.microsoft.com/office/drawing/2014/main" id="{A858F0C4-77BF-44EC-961F-AA1657F2B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70</xdr:row>
      <xdr:rowOff>0</xdr:rowOff>
    </xdr:from>
    <xdr:to>
      <xdr:col>16</xdr:col>
      <xdr:colOff>0</xdr:colOff>
      <xdr:row>90</xdr:row>
      <xdr:rowOff>0</xdr:rowOff>
    </xdr:to>
    <xdr:graphicFrame macro="">
      <xdr:nvGraphicFramePr>
        <xdr:cNvPr id="3222" name="chart_growth_6">
          <a:extLst>
            <a:ext uri="{FF2B5EF4-FFF2-40B4-BE49-F238E27FC236}">
              <a16:creationId xmlns:a16="http://schemas.microsoft.com/office/drawing/2014/main" id="{867424C0-C961-4743-B961-25F1EB3B40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9</xdr:row>
      <xdr:rowOff>0</xdr:rowOff>
    </xdr:from>
    <xdr:to>
      <xdr:col>16</xdr:col>
      <xdr:colOff>0</xdr:colOff>
      <xdr:row>24</xdr:row>
      <xdr:rowOff>0</xdr:rowOff>
    </xdr:to>
    <xdr:graphicFrame macro="">
      <xdr:nvGraphicFramePr>
        <xdr:cNvPr id="3223" name="chart_sens_1">
          <a:extLst>
            <a:ext uri="{FF2B5EF4-FFF2-40B4-BE49-F238E27FC236}">
              <a16:creationId xmlns:a16="http://schemas.microsoft.com/office/drawing/2014/main" id="{906D5D95-AC2D-4752-AA36-44176A9B99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0</xdr:colOff>
      <xdr:row>26</xdr:row>
      <xdr:rowOff>0</xdr:rowOff>
    </xdr:from>
    <xdr:to>
      <xdr:col>16</xdr:col>
      <xdr:colOff>0</xdr:colOff>
      <xdr:row>46</xdr:row>
      <xdr:rowOff>0</xdr:rowOff>
    </xdr:to>
    <xdr:graphicFrame macro="">
      <xdr:nvGraphicFramePr>
        <xdr:cNvPr id="3224" name="chart_growth_2">
          <a:extLst>
            <a:ext uri="{FF2B5EF4-FFF2-40B4-BE49-F238E27FC236}">
              <a16:creationId xmlns:a16="http://schemas.microsoft.com/office/drawing/2014/main" id="{89E39000-E334-45EF-9A9D-EA2E5284F6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95</xdr:row>
      <xdr:rowOff>0</xdr:rowOff>
    </xdr:from>
    <xdr:to>
      <xdr:col>8</xdr:col>
      <xdr:colOff>0</xdr:colOff>
      <xdr:row>113</xdr:row>
      <xdr:rowOff>0</xdr:rowOff>
    </xdr:to>
    <xdr:graphicFrame macro="">
      <xdr:nvGraphicFramePr>
        <xdr:cNvPr id="3225" name="chart_growth_7">
          <a:extLst>
            <a:ext uri="{FF2B5EF4-FFF2-40B4-BE49-F238E27FC236}">
              <a16:creationId xmlns:a16="http://schemas.microsoft.com/office/drawing/2014/main" id="{ED0E9D41-9B66-47A5-B1ED-AC23DBBAF4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5</xdr:row>
      <xdr:rowOff>0</xdr:rowOff>
    </xdr:from>
    <xdr:to>
      <xdr:col>16</xdr:col>
      <xdr:colOff>0</xdr:colOff>
      <xdr:row>33</xdr:row>
      <xdr:rowOff>0</xdr:rowOff>
    </xdr:to>
    <xdr:graphicFrame macro="">
      <xdr:nvGraphicFramePr>
        <xdr:cNvPr id="28716" name="chart_sens_2">
          <a:extLst>
            <a:ext uri="{FF2B5EF4-FFF2-40B4-BE49-F238E27FC236}">
              <a16:creationId xmlns:a16="http://schemas.microsoft.com/office/drawing/2014/main" id="{F3420D71-7750-4B21-ABFA-923C4060E4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5</xdr:row>
      <xdr:rowOff>0</xdr:rowOff>
    </xdr:from>
    <xdr:to>
      <xdr:col>16</xdr:col>
      <xdr:colOff>0</xdr:colOff>
      <xdr:row>28</xdr:row>
      <xdr:rowOff>0</xdr:rowOff>
    </xdr:to>
    <xdr:graphicFrame macro="">
      <xdr:nvGraphicFramePr>
        <xdr:cNvPr id="121869" name="chart_attrib">
          <a:extLst>
            <a:ext uri="{FF2B5EF4-FFF2-40B4-BE49-F238E27FC236}">
              <a16:creationId xmlns:a16="http://schemas.microsoft.com/office/drawing/2014/main" id="{37B36E6C-D44B-489E-B33E-1F91DB853D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ykoh.com/downloads/TykohValuationModel_1_1.pdf" TargetMode="External"/><Relationship Id="rId7" Type="http://schemas.openxmlformats.org/officeDocument/2006/relationships/printerSettings" Target="../printerSettings/printerSettings1.bin"/><Relationship Id="rId2" Type="http://schemas.openxmlformats.org/officeDocument/2006/relationships/hyperlink" Target="http://www.tykoh.com/downloads/TykohValuationModel.xls" TargetMode="External"/><Relationship Id="rId1" Type="http://schemas.openxmlformats.org/officeDocument/2006/relationships/hyperlink" Target="http://www.tykoh.com/downloads/TykohValuationModel_1_1.pdf" TargetMode="External"/><Relationship Id="rId6" Type="http://schemas.openxmlformats.org/officeDocument/2006/relationships/hyperlink" Target="http://www.tykoh.com/downloads/TykohValuationUtility_1_1.pdf" TargetMode="External"/><Relationship Id="rId5" Type="http://schemas.openxmlformats.org/officeDocument/2006/relationships/hyperlink" Target="http://www.tykoh.com/downloads/TykohValuationUtility_1_1.pdf" TargetMode="External"/><Relationship Id="rId4" Type="http://schemas.openxmlformats.org/officeDocument/2006/relationships/hyperlink" Target="https://www.tykoh.com/?rfr=v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tykoh.com/downloads/TykohValuationUtility_1_1.pdf" TargetMode="External"/><Relationship Id="rId7" Type="http://schemas.openxmlformats.org/officeDocument/2006/relationships/comments" Target="../comments1.xml"/><Relationship Id="rId2" Type="http://schemas.openxmlformats.org/officeDocument/2006/relationships/hyperlink" Target="https://www.tykoh.com/?rfr=vm" TargetMode="External"/><Relationship Id="rId1" Type="http://schemas.openxmlformats.org/officeDocument/2006/relationships/hyperlink" Target="http://www.tykoh.com/"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tykoh.com/downloads/TykohValuationUtility_1_1.pdf" TargetMode="External"/><Relationship Id="rId2" Type="http://schemas.openxmlformats.org/officeDocument/2006/relationships/hyperlink" Target="https://www.tykoh.com/?rfr=vm" TargetMode="External"/><Relationship Id="rId1" Type="http://schemas.openxmlformats.org/officeDocument/2006/relationships/hyperlink" Target="http://www.tykoh.com/"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tykoh.com/downloads/TykohValuationUtility_1_1.pdf" TargetMode="External"/><Relationship Id="rId2" Type="http://schemas.openxmlformats.org/officeDocument/2006/relationships/hyperlink" Target="https://www.tykoh.com/?rfr=vm" TargetMode="External"/><Relationship Id="rId1" Type="http://schemas.openxmlformats.org/officeDocument/2006/relationships/hyperlink" Target="http://www.tykoh.com/" TargetMode="Externa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www.tykoh.com/downloads/TykohValuationUtility_1_1.pdf" TargetMode="External"/><Relationship Id="rId1" Type="http://schemas.openxmlformats.org/officeDocument/2006/relationships/hyperlink" Target="https://www.tykoh.com/?rfr=vm"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tykoh.com/?rfr=vm" TargetMode="External"/><Relationship Id="rId1" Type="http://schemas.openxmlformats.org/officeDocument/2006/relationships/hyperlink" Target="http://www.tykoh.com/downloads/TykohValuationUtility_1_1.pdf"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P32"/>
  <sheetViews>
    <sheetView showGridLines="0" showRowColHeaders="0" tabSelected="1" workbookViewId="0"/>
  </sheetViews>
  <sheetFormatPr defaultColWidth="0" defaultRowHeight="12.5" zeroHeight="1" x14ac:dyDescent="0.25"/>
  <cols>
    <col min="1" max="1" width="1.7265625" style="24" customWidth="1"/>
    <col min="2" max="2" width="23.453125" style="24" customWidth="1"/>
    <col min="3" max="16" width="9.1796875" style="24" customWidth="1"/>
    <col min="17" max="17" width="1.7265625" style="24" customWidth="1"/>
    <col min="18" max="16384" width="0" style="24" hidden="1"/>
  </cols>
  <sheetData>
    <row r="1" spans="2:16" ht="13.5" thickTop="1" thickBot="1" x14ac:dyDescent="0.3">
      <c r="F1" s="433" t="str">
        <f>Main!F1</f>
        <v>Tykoh Valuation Model (^)</v>
      </c>
      <c r="G1" s="433"/>
      <c r="H1" s="433"/>
      <c r="I1" s="433"/>
      <c r="J1" s="19" t="str">
        <f>Main!J1</f>
        <v>v1.1</v>
      </c>
      <c r="O1" s="434" t="str">
        <f>Main!O1</f>
        <v>User guide</v>
      </c>
      <c r="P1" s="435"/>
    </row>
    <row r="2" spans="2:16" ht="13.5" thickTop="1" x14ac:dyDescent="0.3">
      <c r="B2" s="25" t="s">
        <v>283</v>
      </c>
    </row>
    <row r="3" spans="2:16" x14ac:dyDescent="0.25"/>
    <row r="4" spans="2:16" x14ac:dyDescent="0.25">
      <c r="B4" s="436" t="s">
        <v>367</v>
      </c>
      <c r="C4" s="437"/>
      <c r="D4" s="437"/>
      <c r="E4" s="437"/>
      <c r="F4" s="437"/>
      <c r="G4" s="437"/>
      <c r="H4" s="437"/>
      <c r="I4" s="437"/>
      <c r="J4" s="437"/>
      <c r="K4" s="437"/>
      <c r="L4" s="437"/>
      <c r="M4" s="437"/>
      <c r="N4" s="437"/>
      <c r="O4" s="437"/>
      <c r="P4" s="18"/>
    </row>
    <row r="5" spans="2:16" x14ac:dyDescent="0.25">
      <c r="B5" s="437"/>
      <c r="C5" s="437"/>
      <c r="D5" s="437"/>
      <c r="E5" s="437"/>
      <c r="F5" s="437"/>
      <c r="G5" s="437"/>
      <c r="H5" s="437"/>
      <c r="I5" s="437"/>
      <c r="J5" s="437"/>
      <c r="K5" s="437"/>
      <c r="L5" s="437"/>
      <c r="M5" s="437"/>
      <c r="N5" s="437"/>
      <c r="O5" s="437"/>
      <c r="P5" s="18"/>
    </row>
    <row r="6" spans="2:16" x14ac:dyDescent="0.25">
      <c r="B6" s="18"/>
      <c r="C6" s="18"/>
      <c r="D6" s="18"/>
      <c r="E6" s="18"/>
      <c r="F6" s="18"/>
      <c r="G6" s="18"/>
      <c r="H6" s="18"/>
      <c r="I6" s="18"/>
      <c r="J6" s="18"/>
    </row>
    <row r="7" spans="2:16" x14ac:dyDescent="0.25">
      <c r="B7" s="18" t="s">
        <v>368</v>
      </c>
      <c r="C7" s="18"/>
      <c r="D7" s="18"/>
      <c r="E7" s="18"/>
      <c r="F7" s="18"/>
      <c r="G7" s="18"/>
      <c r="H7" s="18"/>
      <c r="I7" s="18"/>
      <c r="J7" s="18"/>
    </row>
    <row r="8" spans="2:16" x14ac:dyDescent="0.25">
      <c r="B8" s="62" t="s">
        <v>323</v>
      </c>
      <c r="C8" s="18"/>
      <c r="D8" s="18"/>
      <c r="E8" s="18"/>
      <c r="F8" s="18"/>
      <c r="G8" s="18"/>
      <c r="H8" s="18"/>
      <c r="I8" s="18"/>
      <c r="J8" s="18"/>
    </row>
    <row r="9" spans="2:16" x14ac:dyDescent="0.25">
      <c r="B9" s="62" t="s">
        <v>324</v>
      </c>
      <c r="C9" s="18"/>
      <c r="D9" s="18"/>
      <c r="E9" s="18"/>
      <c r="F9" s="18"/>
      <c r="G9" s="18"/>
      <c r="H9" s="18"/>
      <c r="I9" s="18"/>
      <c r="J9" s="18"/>
    </row>
    <row r="10" spans="2:16" x14ac:dyDescent="0.25">
      <c r="B10" s="62" t="s">
        <v>325</v>
      </c>
      <c r="C10" s="18"/>
      <c r="D10" s="18"/>
      <c r="E10" s="18"/>
      <c r="F10" s="18"/>
      <c r="G10" s="18"/>
      <c r="H10" s="18"/>
      <c r="I10" s="18"/>
      <c r="J10" s="18"/>
    </row>
    <row r="11" spans="2:16" x14ac:dyDescent="0.25">
      <c r="B11" s="62" t="s">
        <v>326</v>
      </c>
      <c r="C11" s="18"/>
      <c r="D11" s="18"/>
      <c r="E11" s="18"/>
      <c r="F11" s="18"/>
      <c r="G11" s="18"/>
      <c r="H11" s="18"/>
      <c r="I11" s="18"/>
      <c r="J11" s="18"/>
    </row>
    <row r="12" spans="2:16" x14ac:dyDescent="0.25">
      <c r="B12" s="62" t="s">
        <v>327</v>
      </c>
      <c r="C12" s="18"/>
      <c r="D12" s="18"/>
      <c r="E12" s="18"/>
      <c r="F12" s="18"/>
      <c r="G12" s="18"/>
      <c r="H12" s="18"/>
      <c r="I12" s="18"/>
      <c r="J12" s="18"/>
    </row>
    <row r="13" spans="2:16" x14ac:dyDescent="0.25">
      <c r="B13" s="62" t="s">
        <v>328</v>
      </c>
      <c r="C13" s="18"/>
      <c r="D13" s="18"/>
      <c r="E13" s="18"/>
      <c r="F13" s="18"/>
      <c r="G13" s="18"/>
      <c r="H13" s="18"/>
      <c r="I13" s="18"/>
      <c r="J13" s="18"/>
    </row>
    <row r="14" spans="2:16" x14ac:dyDescent="0.25">
      <c r="B14" s="62" t="s">
        <v>329</v>
      </c>
      <c r="C14" s="18"/>
      <c r="D14" s="18"/>
      <c r="E14" s="18"/>
      <c r="F14" s="18"/>
      <c r="G14" s="18"/>
      <c r="H14" s="18"/>
      <c r="I14" s="18"/>
      <c r="J14" s="18"/>
    </row>
    <row r="15" spans="2:16" x14ac:dyDescent="0.25">
      <c r="B15" s="18"/>
      <c r="C15" s="18"/>
      <c r="D15" s="18"/>
      <c r="E15" s="18"/>
      <c r="F15" s="18"/>
      <c r="G15" s="18"/>
      <c r="H15" s="18"/>
      <c r="I15" s="18"/>
      <c r="J15" s="18"/>
    </row>
    <row r="16" spans="2:16" x14ac:dyDescent="0.25">
      <c r="B16" s="24" t="s">
        <v>369</v>
      </c>
      <c r="G16" s="432" t="s">
        <v>371</v>
      </c>
      <c r="H16" s="432"/>
      <c r="I16" s="432"/>
    </row>
    <row r="17" spans="2:15" x14ac:dyDescent="0.25"/>
    <row r="18" spans="2:15" x14ac:dyDescent="0.25">
      <c r="B18" s="437" t="s">
        <v>285</v>
      </c>
      <c r="C18" s="437"/>
      <c r="D18" s="437"/>
      <c r="E18" s="437"/>
      <c r="F18" s="437"/>
      <c r="G18" s="432" t="s">
        <v>284</v>
      </c>
      <c r="H18" s="432"/>
      <c r="I18" s="18"/>
      <c r="J18" s="18"/>
      <c r="K18" s="18"/>
      <c r="L18" s="18"/>
      <c r="M18" s="18"/>
      <c r="N18" s="18"/>
      <c r="O18" s="18"/>
    </row>
    <row r="19" spans="2:15" x14ac:dyDescent="0.25"/>
    <row r="20" spans="2:15" ht="13" x14ac:dyDescent="0.3">
      <c r="B20" s="25" t="s">
        <v>303</v>
      </c>
    </row>
    <row r="21" spans="2:15" x14ac:dyDescent="0.25">
      <c r="B21" s="24" t="s">
        <v>370</v>
      </c>
      <c r="G21" s="55"/>
    </row>
    <row r="22" spans="2:15" x14ac:dyDescent="0.25"/>
    <row r="23" spans="2:15" x14ac:dyDescent="0.25"/>
    <row r="24" spans="2:15" ht="12.75" customHeight="1" x14ac:dyDescent="0.25">
      <c r="C24" s="438" t="str">
        <f>Main!C142</f>
        <v>^ Disclaimer:  Tykoh Group Pty Limited ("Tykoh") disclaims all warranties of quality, accuracy, correctness, or fitness for a particular purpose.  This spreadsheet is for educational use only and should not be used for pricing or risk management purposes. Copyright (c) 2012 Tykoh Group Pty Limited.  All rights reserved.</v>
      </c>
      <c r="D24" s="439"/>
      <c r="E24" s="439"/>
      <c r="F24" s="439"/>
      <c r="G24" s="439"/>
      <c r="H24" s="439"/>
      <c r="I24" s="439"/>
      <c r="J24" s="439"/>
      <c r="K24" s="439"/>
      <c r="L24" s="439"/>
      <c r="M24" s="440"/>
    </row>
    <row r="25" spans="2:15" x14ac:dyDescent="0.25">
      <c r="C25" s="441"/>
      <c r="D25" s="442"/>
      <c r="E25" s="442"/>
      <c r="F25" s="442"/>
      <c r="G25" s="442"/>
      <c r="H25" s="442"/>
      <c r="I25" s="442"/>
      <c r="J25" s="442"/>
      <c r="K25" s="442"/>
      <c r="L25" s="442"/>
      <c r="M25" s="443"/>
    </row>
    <row r="26" spans="2:15" x14ac:dyDescent="0.25">
      <c r="C26" s="444"/>
      <c r="D26" s="445"/>
      <c r="E26" s="445"/>
      <c r="F26" s="445"/>
      <c r="G26" s="445"/>
      <c r="H26" s="445"/>
      <c r="I26" s="445"/>
      <c r="J26" s="445"/>
      <c r="K26" s="445"/>
      <c r="L26" s="445"/>
      <c r="M26" s="446"/>
    </row>
    <row r="27" spans="2:15" x14ac:dyDescent="0.25"/>
    <row r="28" spans="2:15" x14ac:dyDescent="0.25">
      <c r="F28" s="431" t="str">
        <f>Main!F146</f>
        <v>www.tykoh.com</v>
      </c>
      <c r="G28" s="431"/>
      <c r="H28" s="431"/>
    </row>
    <row r="29" spans="2:15" x14ac:dyDescent="0.25"/>
    <row r="30" spans="2:15" x14ac:dyDescent="0.25"/>
    <row r="31" spans="2:15" x14ac:dyDescent="0.25"/>
    <row r="32" spans="2:15" x14ac:dyDescent="0.25"/>
  </sheetData>
  <sheetProtection algorithmName="SHA-512" hashValue="s1gXmz8bY49vhqfi57aOArIjd0PQVQJB1j0NlzW3fyj+P3t0o8e1etKIvmVR3uN64CeiueHVjXYZsnnNDa38hg==" saltValue="E8zWkzyzJyuqnbixLkUeMw==" spinCount="100000" sheet="1" objects="1" scenarios="1"/>
  <mergeCells count="8">
    <mergeCell ref="F28:H28"/>
    <mergeCell ref="G16:I16"/>
    <mergeCell ref="F1:I1"/>
    <mergeCell ref="O1:P1"/>
    <mergeCell ref="B4:O5"/>
    <mergeCell ref="C24:M26"/>
    <mergeCell ref="B18:F18"/>
    <mergeCell ref="G18:H18"/>
  </mergeCells>
  <phoneticPr fontId="4" type="noConversion"/>
  <hyperlinks>
    <hyperlink ref="O1" r:id="rId1" display="http://www.tykoh.com/downloads/TykohValuationModel_1_1.pdf" xr:uid="{00000000-0004-0000-0000-000000000000}"/>
    <hyperlink ref="G16:I16" r:id="rId2" display="TykohValuationModel.xls" xr:uid="{00000000-0004-0000-0000-000001000000}"/>
    <hyperlink ref="G18" r:id="rId3" xr:uid="{00000000-0004-0000-0000-000002000000}"/>
    <hyperlink ref="F28:H28" r:id="rId4" display="https://www.tykoh.com/?rfr=vm" xr:uid="{00000000-0004-0000-0000-000003000000}"/>
    <hyperlink ref="G18:H18" r:id="rId5" display="User guide" xr:uid="{00000000-0004-0000-0000-000004000000}"/>
    <hyperlink ref="O1:P1" r:id="rId6" display="http://www.tykoh.com/downloads/TykohValuationUtility_1_1.pdf" xr:uid="{00000000-0004-0000-0000-000005000000}"/>
  </hyperlinks>
  <pageMargins left="0.75" right="0.75" top="1" bottom="1" header="0.5" footer="0.5"/>
  <pageSetup paperSize="9" orientation="portrait" r:id="rId7"/>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U403"/>
  <sheetViews>
    <sheetView workbookViewId="0"/>
  </sheetViews>
  <sheetFormatPr defaultColWidth="0" defaultRowHeight="12.5" zeroHeight="1" x14ac:dyDescent="0.25"/>
  <cols>
    <col min="1" max="1" width="1.7265625" style="67" customWidth="1"/>
    <col min="2" max="2" width="23.453125" style="3" customWidth="1"/>
    <col min="3" max="16" width="9.1796875" style="3" customWidth="1"/>
    <col min="17" max="17" width="1.7265625" style="3" customWidth="1"/>
    <col min="18" max="16384" width="0" style="3" hidden="1"/>
  </cols>
  <sheetData>
    <row r="1" spans="1:21" ht="13.5" thickTop="1" thickBot="1" x14ac:dyDescent="0.3">
      <c r="B1" s="68" t="s">
        <v>283</v>
      </c>
      <c r="F1" s="433" t="s">
        <v>366</v>
      </c>
      <c r="G1" s="433"/>
      <c r="H1" s="433"/>
      <c r="I1" s="433"/>
      <c r="J1" s="19" t="str">
        <f>"v" &amp; major_version &amp; "." &amp; minor_version</f>
        <v>v1.1</v>
      </c>
      <c r="O1" s="482" t="s">
        <v>284</v>
      </c>
      <c r="P1" s="435"/>
    </row>
    <row r="2" spans="1:21" ht="13" thickTop="1" x14ac:dyDescent="0.25">
      <c r="C2" s="69"/>
      <c r="D2" s="69"/>
      <c r="N2" s="70"/>
      <c r="O2" s="71"/>
      <c r="P2" s="71"/>
    </row>
    <row r="3" spans="1:21" x14ac:dyDescent="0.25">
      <c r="B3" s="483" t="str">
        <f ca="1">B211</f>
        <v/>
      </c>
      <c r="C3" s="483"/>
      <c r="D3" s="483"/>
      <c r="E3" s="483"/>
      <c r="F3" s="483"/>
      <c r="G3" s="483"/>
      <c r="H3" s="483"/>
      <c r="I3" s="483"/>
      <c r="J3" s="483"/>
      <c r="K3" s="483"/>
      <c r="L3" s="483"/>
      <c r="M3" s="483"/>
      <c r="N3" s="483"/>
      <c r="O3" s="483"/>
      <c r="P3" s="483"/>
    </row>
    <row r="4" spans="1:21" x14ac:dyDescent="0.25">
      <c r="B4" s="10"/>
      <c r="C4" s="493">
        <f>I168</f>
        <v>1</v>
      </c>
      <c r="D4" s="494"/>
      <c r="F4" s="449">
        <v>1</v>
      </c>
      <c r="G4" s="450"/>
      <c r="I4" s="449">
        <f>F4+1</f>
        <v>2</v>
      </c>
      <c r="J4" s="450"/>
      <c r="L4" s="72"/>
      <c r="M4" s="72"/>
    </row>
    <row r="5" spans="1:21" s="80" customFormat="1" x14ac:dyDescent="0.25">
      <c r="A5" s="73"/>
      <c r="B5" s="74" t="s">
        <v>253</v>
      </c>
      <c r="C5" s="75" t="str">
        <f>PROPER(initial)</f>
        <v>Initial</v>
      </c>
      <c r="D5" s="76" t="str">
        <f>PROPER(final)</f>
        <v>Terminal</v>
      </c>
      <c r="E5" s="77"/>
      <c r="F5" s="78" t="str">
        <f>C5</f>
        <v>Initial</v>
      </c>
      <c r="G5" s="79" t="str">
        <f>D5</f>
        <v>Terminal</v>
      </c>
      <c r="I5" s="78" t="str">
        <f>F5</f>
        <v>Initial</v>
      </c>
      <c r="J5" s="79" t="str">
        <f>G5</f>
        <v>Terminal</v>
      </c>
      <c r="P5" s="18"/>
    </row>
    <row r="6" spans="1:21" x14ac:dyDescent="0.25">
      <c r="B6" s="81" t="str">
        <f>row_roc</f>
        <v>Return on capital</v>
      </c>
      <c r="C6" s="422">
        <f ca="1">IF(attribution_index=0,C151,IF(attribution_index=1,F6,IF(attribution_index&lt;2,F6,I6)))</f>
        <v>0.12</v>
      </c>
      <c r="D6" s="423">
        <f ca="1">IF(attribution_index=0,D151,IF(attribution_index=1,G6,IF(attribution_index&lt;9,G6,J6)))</f>
        <v>0.1</v>
      </c>
      <c r="F6" s="12">
        <v>0.12</v>
      </c>
      <c r="G6" s="12">
        <v>0.1</v>
      </c>
      <c r="I6" s="12">
        <v>0.1</v>
      </c>
      <c r="J6" s="12">
        <v>0.1</v>
      </c>
      <c r="S6" s="69"/>
      <c r="U6" s="69"/>
    </row>
    <row r="7" spans="1:21" x14ac:dyDescent="0.25">
      <c r="B7" s="84" t="str">
        <f>row_leverage</f>
        <v>Debt / equity ratio</v>
      </c>
      <c r="C7" s="424">
        <f ca="1">IF(attribution_index=0,C152,IF(attribution_index=1,F7,IF(attribution_index&lt;3,F7,I7)))</f>
        <v>0.5</v>
      </c>
      <c r="D7" s="425">
        <f ca="1">IF(attribution_index=0,D152,IF(attribution_index=1,G7,IF(attribution_index&lt;10,G7,J7)))</f>
        <v>0.1</v>
      </c>
      <c r="E7" s="87"/>
      <c r="F7" s="12">
        <v>0.5</v>
      </c>
      <c r="G7" s="12">
        <v>0.1</v>
      </c>
      <c r="I7" s="12">
        <v>0.9</v>
      </c>
      <c r="J7" s="12">
        <v>0.6</v>
      </c>
      <c r="Q7" s="88"/>
    </row>
    <row r="8" spans="1:21" x14ac:dyDescent="0.25">
      <c r="B8" s="84" t="str">
        <f>row_depn_rate</f>
        <v>Depreciation rate</v>
      </c>
      <c r="C8" s="424">
        <f ca="1">IF(attribution_index=0,C153,IF(attribution_index=1,F8,IF(attribution_index&lt;4,F8,I8)))</f>
        <v>0.02</v>
      </c>
      <c r="D8" s="425">
        <f ca="1">IF(attribution_index=0,D153,IF(attribution_index=1,G8,IF(attribution_index&lt;11,G8,J8)))</f>
        <v>0.02</v>
      </c>
      <c r="E8" s="87"/>
      <c r="F8" s="12">
        <v>0.02</v>
      </c>
      <c r="G8" s="12">
        <v>0.02</v>
      </c>
      <c r="I8" s="12">
        <v>0</v>
      </c>
      <c r="J8" s="12">
        <v>0</v>
      </c>
      <c r="L8" s="89"/>
      <c r="M8" s="89"/>
      <c r="Q8" s="88"/>
    </row>
    <row r="9" spans="1:21" x14ac:dyDescent="0.25">
      <c r="B9" s="84" t="str">
        <f>row_tax_rate</f>
        <v>Tax rate</v>
      </c>
      <c r="C9" s="424">
        <f ca="1">IF(attribution_index=0,C154,IF(attribution_index=1,F9,IF(attribution_index&lt;5,F9,I9)))</f>
        <v>0.3</v>
      </c>
      <c r="D9" s="425">
        <f ca="1">IF(attribution_index=0,D154,IF(attribution_index=1,G9,IF(attribution_index&lt;12,G9,J9)))</f>
        <v>0.3</v>
      </c>
      <c r="E9" s="87"/>
      <c r="F9" s="12">
        <v>0.3</v>
      </c>
      <c r="G9" s="12">
        <v>0.3</v>
      </c>
      <c r="I9" s="12">
        <v>0.4</v>
      </c>
      <c r="J9" s="12">
        <v>0.4</v>
      </c>
      <c r="L9" s="90"/>
      <c r="M9" s="90"/>
      <c r="Q9" s="88"/>
    </row>
    <row r="10" spans="1:21" x14ac:dyDescent="0.25">
      <c r="B10" s="84" t="str">
        <f>row_risk_free_rate</f>
        <v>Risk free rate</v>
      </c>
      <c r="C10" s="424">
        <f ca="1">IF(attribution_index=0,C155,IF(attribution_index=1,F10,IF(attribution_index&lt;6,F10,I10)))</f>
        <v>0.04</v>
      </c>
      <c r="D10" s="425">
        <f ca="1">IF(attribution_index=0,D155,IF(attribution_index=1,G10,IF(attribution_index&lt;13,G10,J10)))</f>
        <v>0.04</v>
      </c>
      <c r="E10" s="87"/>
      <c r="F10" s="12">
        <v>0.04</v>
      </c>
      <c r="G10" s="12">
        <v>0.04</v>
      </c>
      <c r="I10" s="12">
        <v>0.04</v>
      </c>
      <c r="J10" s="12">
        <v>0.05</v>
      </c>
      <c r="L10" s="90"/>
      <c r="M10" s="90"/>
      <c r="Q10" s="88"/>
    </row>
    <row r="11" spans="1:21" x14ac:dyDescent="0.25">
      <c r="B11" s="84" t="str">
        <f>row_equity_margin</f>
        <v>Equity margin</v>
      </c>
      <c r="C11" s="424">
        <f ca="1">IF(attribution_index=0,C156,IF(attribution_index=1,F11,IF(attribution_index&lt;7,F11,I11)))</f>
        <v>7.0000000000000007E-2</v>
      </c>
      <c r="D11" s="425">
        <f ca="1">IF(attribution_index=0,D156,IF(attribution_index=1,G11,IF(attribution_index&lt;14,G11,J11)))</f>
        <v>7.0000000000000007E-2</v>
      </c>
      <c r="E11" s="87"/>
      <c r="F11" s="12">
        <v>7.0000000000000007E-2</v>
      </c>
      <c r="G11" s="12">
        <v>7.0000000000000007E-2</v>
      </c>
      <c r="I11" s="12">
        <v>7.0000000000000007E-2</v>
      </c>
      <c r="J11" s="12">
        <v>7.0000000000000007E-2</v>
      </c>
      <c r="L11" s="90"/>
      <c r="M11" s="90"/>
      <c r="Q11" s="88"/>
      <c r="T11" s="69"/>
    </row>
    <row r="12" spans="1:21" x14ac:dyDescent="0.25">
      <c r="B12" s="91" t="str">
        <f>row_growth</f>
        <v>Growth rate</v>
      </c>
      <c r="C12" s="426">
        <f ca="1">IF(attribution_index=0,C157,IF(attribution_index=1,F12,IF(attribution_index&lt;8,F12,I12)))</f>
        <v>0.05</v>
      </c>
      <c r="D12" s="427">
        <f ca="1">IF(attribution_index=0,D157,IF(attribution_index=1,G12,IF(attribution_index&lt;15,G12,J12)))</f>
        <v>0.02</v>
      </c>
      <c r="E12" s="87"/>
      <c r="F12" s="14">
        <v>0.05</v>
      </c>
      <c r="G12" s="14">
        <v>0.02</v>
      </c>
      <c r="H12" s="60"/>
      <c r="I12" s="14">
        <v>0.03</v>
      </c>
      <c r="J12" s="14">
        <v>0.03</v>
      </c>
      <c r="L12" s="90"/>
      <c r="M12" s="90"/>
      <c r="Q12" s="88"/>
    </row>
    <row r="13" spans="1:21" ht="12.75" customHeight="1" x14ac:dyDescent="0.25">
      <c r="B13" s="476" t="s">
        <v>249</v>
      </c>
      <c r="C13" s="447" t="s">
        <v>248</v>
      </c>
      <c r="D13" s="448"/>
      <c r="E13" s="87"/>
      <c r="F13" s="454" t="str">
        <f>C13</f>
        <v>Coverage ratio table</v>
      </c>
      <c r="G13" s="455"/>
      <c r="H13" s="60"/>
      <c r="I13" s="454" t="str">
        <f>F13</f>
        <v>Coverage ratio table</v>
      </c>
      <c r="J13" s="455"/>
      <c r="L13" s="90"/>
      <c r="M13" s="90"/>
      <c r="Q13" s="88"/>
    </row>
    <row r="14" spans="1:21" ht="25" x14ac:dyDescent="0.25">
      <c r="B14" s="477"/>
      <c r="C14" s="94" t="s">
        <v>26</v>
      </c>
      <c r="D14" s="95" t="s">
        <v>178</v>
      </c>
      <c r="E14" s="96"/>
      <c r="F14" s="97" t="s">
        <v>26</v>
      </c>
      <c r="G14" s="98" t="s">
        <v>178</v>
      </c>
      <c r="H14" s="99"/>
      <c r="I14" s="97" t="s">
        <v>26</v>
      </c>
      <c r="J14" s="98" t="s">
        <v>178</v>
      </c>
      <c r="L14" s="100"/>
      <c r="M14" s="100"/>
      <c r="Q14" s="88"/>
    </row>
    <row r="15" spans="1:21" x14ac:dyDescent="0.25">
      <c r="B15" s="477"/>
      <c r="C15" s="428">
        <f t="shared" ref="C15:D19" ca="1" si="0">IF(attribution_index=0,C160,IF(attribution_index=1,F15,IF(attribution_index&lt;16,F15,I15)))</f>
        <v>7.5</v>
      </c>
      <c r="D15" s="425">
        <f t="shared" ca="1" si="0"/>
        <v>5.0000000000000001E-3</v>
      </c>
      <c r="E15" s="102"/>
      <c r="F15" s="103">
        <f>F16+$F$19</f>
        <v>7.5</v>
      </c>
      <c r="G15" s="13">
        <v>5.0000000000000001E-3</v>
      </c>
      <c r="H15" s="60"/>
      <c r="I15" s="103">
        <f>I16+$F$19</f>
        <v>8</v>
      </c>
      <c r="J15" s="13">
        <v>5.0000000000000001E-3</v>
      </c>
      <c r="L15" s="104"/>
      <c r="M15" s="105"/>
      <c r="Q15" s="88"/>
      <c r="R15" s="102"/>
    </row>
    <row r="16" spans="1:21" ht="13.5" customHeight="1" x14ac:dyDescent="0.25">
      <c r="B16" s="477"/>
      <c r="C16" s="429">
        <f t="shared" ca="1" si="0"/>
        <v>6</v>
      </c>
      <c r="D16" s="425">
        <f t="shared" ca="1" si="0"/>
        <v>0.01</v>
      </c>
      <c r="E16" s="107"/>
      <c r="F16" s="103">
        <f>F17+$F$19</f>
        <v>6</v>
      </c>
      <c r="G16" s="13">
        <v>0.01</v>
      </c>
      <c r="H16" s="60"/>
      <c r="I16" s="103">
        <f>I17+$F$19</f>
        <v>6.5</v>
      </c>
      <c r="J16" s="13">
        <v>0.01</v>
      </c>
      <c r="L16" s="108"/>
      <c r="M16" s="109"/>
      <c r="Q16" s="88"/>
      <c r="R16" s="110"/>
    </row>
    <row r="17" spans="1:22" x14ac:dyDescent="0.25">
      <c r="B17" s="477"/>
      <c r="C17" s="429">
        <f t="shared" ca="1" si="0"/>
        <v>4.5</v>
      </c>
      <c r="D17" s="425">
        <f t="shared" ca="1" si="0"/>
        <v>0.02</v>
      </c>
      <c r="E17" s="111"/>
      <c r="F17" s="103">
        <f>F18+$F$19</f>
        <v>4.5</v>
      </c>
      <c r="G17" s="13">
        <v>0.02</v>
      </c>
      <c r="H17" s="60"/>
      <c r="I17" s="103">
        <f>I18+$F$19</f>
        <v>5</v>
      </c>
      <c r="J17" s="13">
        <v>1.4999999999999999E-2</v>
      </c>
      <c r="L17" s="108"/>
      <c r="M17" s="109"/>
      <c r="Q17" s="88"/>
    </row>
    <row r="18" spans="1:22" x14ac:dyDescent="0.25">
      <c r="B18" s="477"/>
      <c r="C18" s="429">
        <f t="shared" ca="1" si="0"/>
        <v>3</v>
      </c>
      <c r="D18" s="425">
        <f t="shared" ca="1" si="0"/>
        <v>0.04</v>
      </c>
      <c r="E18" s="111"/>
      <c r="F18" s="103">
        <f>F19+$F$19</f>
        <v>3</v>
      </c>
      <c r="G18" s="13">
        <v>0.04</v>
      </c>
      <c r="H18" s="60"/>
      <c r="I18" s="103">
        <f>I19+$F$19</f>
        <v>3.5</v>
      </c>
      <c r="J18" s="13">
        <v>0.02</v>
      </c>
      <c r="L18" s="108"/>
      <c r="M18" s="109"/>
      <c r="Q18" s="88"/>
    </row>
    <row r="19" spans="1:22" x14ac:dyDescent="0.25">
      <c r="B19" s="478"/>
      <c r="C19" s="430">
        <f t="shared" ca="1" si="0"/>
        <v>1.5</v>
      </c>
      <c r="D19" s="427">
        <f t="shared" ca="1" si="0"/>
        <v>7.0000000000000007E-2</v>
      </c>
      <c r="E19" s="111"/>
      <c r="F19" s="26">
        <v>1.5</v>
      </c>
      <c r="G19" s="15">
        <v>7.0000000000000007E-2</v>
      </c>
      <c r="H19" s="60"/>
      <c r="I19" s="26">
        <v>2</v>
      </c>
      <c r="J19" s="15">
        <v>2.5000000000000001E-2</v>
      </c>
      <c r="L19" s="108"/>
      <c r="M19" s="109"/>
      <c r="Q19" s="88"/>
    </row>
    <row r="20" spans="1:22" ht="13" thickBot="1" x14ac:dyDescent="0.3">
      <c r="B20" s="113"/>
      <c r="E20" s="111"/>
      <c r="F20" s="111"/>
      <c r="G20" s="60"/>
      <c r="H20" s="60"/>
      <c r="I20" s="60"/>
      <c r="J20" s="60"/>
      <c r="K20" s="60"/>
      <c r="Q20" s="88"/>
    </row>
    <row r="21" spans="1:22" ht="12.75" customHeight="1" x14ac:dyDescent="0.25">
      <c r="B21" s="114" t="s">
        <v>3</v>
      </c>
      <c r="C21" s="7">
        <v>120</v>
      </c>
      <c r="E21" s="484" t="s">
        <v>268</v>
      </c>
      <c r="F21" s="485"/>
      <c r="G21" s="485"/>
      <c r="H21" s="485"/>
      <c r="I21" s="485"/>
      <c r="J21" s="485"/>
      <c r="K21" s="485"/>
      <c r="L21" s="485"/>
      <c r="M21" s="485"/>
      <c r="N21" s="486"/>
      <c r="O21" s="115" t="s">
        <v>34</v>
      </c>
      <c r="P21" s="116" t="s">
        <v>25</v>
      </c>
      <c r="Q21" s="88"/>
    </row>
    <row r="22" spans="1:22" x14ac:dyDescent="0.25">
      <c r="B22" s="117" t="s">
        <v>77</v>
      </c>
      <c r="C22" s="8">
        <v>2020</v>
      </c>
      <c r="E22" s="487"/>
      <c r="F22" s="488"/>
      <c r="G22" s="488"/>
      <c r="H22" s="488"/>
      <c r="I22" s="488"/>
      <c r="J22" s="488"/>
      <c r="K22" s="488"/>
      <c r="L22" s="488"/>
      <c r="M22" s="488"/>
      <c r="N22" s="489"/>
      <c r="O22" s="119">
        <v>7.5</v>
      </c>
      <c r="P22" s="120">
        <v>5.0000000000000001E-3</v>
      </c>
      <c r="Q22" s="88"/>
    </row>
    <row r="23" spans="1:22" x14ac:dyDescent="0.25">
      <c r="B23" s="117" t="s">
        <v>232</v>
      </c>
      <c r="C23" s="6">
        <v>3</v>
      </c>
      <c r="E23" s="487"/>
      <c r="F23" s="488"/>
      <c r="G23" s="488"/>
      <c r="H23" s="488"/>
      <c r="I23" s="488"/>
      <c r="J23" s="488"/>
      <c r="K23" s="488"/>
      <c r="L23" s="488"/>
      <c r="M23" s="488"/>
      <c r="N23" s="489"/>
      <c r="O23" s="103">
        <v>6</v>
      </c>
      <c r="P23" s="121">
        <v>0.01</v>
      </c>
    </row>
    <row r="24" spans="1:22" x14ac:dyDescent="0.25">
      <c r="B24" s="117" t="s">
        <v>211</v>
      </c>
      <c r="C24" s="6">
        <v>3</v>
      </c>
      <c r="E24" s="487"/>
      <c r="F24" s="488"/>
      <c r="G24" s="488"/>
      <c r="H24" s="488"/>
      <c r="I24" s="488"/>
      <c r="J24" s="488"/>
      <c r="K24" s="488"/>
      <c r="L24" s="488"/>
      <c r="M24" s="488"/>
      <c r="N24" s="489"/>
      <c r="O24" s="103">
        <v>4.5</v>
      </c>
      <c r="P24" s="121">
        <v>0.02</v>
      </c>
    </row>
    <row r="25" spans="1:22" ht="13" thickBot="1" x14ac:dyDescent="0.3">
      <c r="B25" s="122" t="s">
        <v>212</v>
      </c>
      <c r="C25" s="9">
        <v>1</v>
      </c>
      <c r="E25" s="487"/>
      <c r="F25" s="488"/>
      <c r="G25" s="488"/>
      <c r="H25" s="488"/>
      <c r="I25" s="488"/>
      <c r="J25" s="488"/>
      <c r="K25" s="488"/>
      <c r="L25" s="488"/>
      <c r="M25" s="488"/>
      <c r="N25" s="489"/>
      <c r="O25" s="103">
        <v>3</v>
      </c>
      <c r="P25" s="121">
        <v>0.04</v>
      </c>
    </row>
    <row r="26" spans="1:22" x14ac:dyDescent="0.25">
      <c r="B26" s="123" t="s">
        <v>46</v>
      </c>
      <c r="C26" s="124">
        <f>base_year+hyper_first_phase+fade-1</f>
        <v>2025</v>
      </c>
      <c r="E26" s="490"/>
      <c r="F26" s="491"/>
      <c r="G26" s="491"/>
      <c r="H26" s="491"/>
      <c r="I26" s="491"/>
      <c r="J26" s="491"/>
      <c r="K26" s="491"/>
      <c r="L26" s="491"/>
      <c r="M26" s="491"/>
      <c r="N26" s="492"/>
      <c r="O26" s="125">
        <v>1.5</v>
      </c>
      <c r="P26" s="126">
        <v>7.0000000000000007E-2</v>
      </c>
    </row>
    <row r="27" spans="1:22" x14ac:dyDescent="0.25">
      <c r="L27" s="69"/>
      <c r="N27" s="88"/>
      <c r="O27" s="127"/>
      <c r="P27" s="128"/>
    </row>
    <row r="28" spans="1:22" s="130" customFormat="1" ht="13" x14ac:dyDescent="0.3">
      <c r="A28" s="129"/>
      <c r="B28" s="130" t="s">
        <v>78</v>
      </c>
      <c r="C28" s="131">
        <f>base_year</f>
        <v>2020</v>
      </c>
      <c r="D28" s="131">
        <f>C28+1</f>
        <v>2021</v>
      </c>
      <c r="E28" s="131">
        <f t="shared" ref="E28:P28" si="1">D28+1</f>
        <v>2022</v>
      </c>
      <c r="F28" s="131">
        <f t="shared" si="1"/>
        <v>2023</v>
      </c>
      <c r="G28" s="131">
        <f t="shared" si="1"/>
        <v>2024</v>
      </c>
      <c r="H28" s="131">
        <f t="shared" si="1"/>
        <v>2025</v>
      </c>
      <c r="I28" s="131">
        <f t="shared" si="1"/>
        <v>2026</v>
      </c>
      <c r="J28" s="131">
        <f t="shared" si="1"/>
        <v>2027</v>
      </c>
      <c r="K28" s="131">
        <f t="shared" si="1"/>
        <v>2028</v>
      </c>
      <c r="L28" s="131">
        <f t="shared" si="1"/>
        <v>2029</v>
      </c>
      <c r="M28" s="131">
        <f t="shared" si="1"/>
        <v>2030</v>
      </c>
      <c r="N28" s="131">
        <f t="shared" si="1"/>
        <v>2031</v>
      </c>
      <c r="O28" s="131">
        <f t="shared" si="1"/>
        <v>2032</v>
      </c>
      <c r="P28" s="131">
        <f t="shared" si="1"/>
        <v>2033</v>
      </c>
      <c r="Q28" s="131"/>
      <c r="R28" s="131"/>
      <c r="S28" s="131"/>
      <c r="T28" s="131"/>
      <c r="U28" s="131"/>
      <c r="V28" s="131"/>
    </row>
    <row r="29" spans="1:22" s="133" customFormat="1" ht="13" x14ac:dyDescent="0.3">
      <c r="A29" s="132"/>
      <c r="B29" s="133" t="s">
        <v>253</v>
      </c>
      <c r="C29" s="134">
        <f t="shared" ref="C29:P29" si="2">IF((C28-base_year)&lt;hyper_first_phase,1,IF((C28-base_year)&lt;(hyper_first_phase+fade),2,3))</f>
        <v>1</v>
      </c>
      <c r="D29" s="134">
        <f t="shared" si="2"/>
        <v>1</v>
      </c>
      <c r="E29" s="134">
        <f t="shared" si="2"/>
        <v>1</v>
      </c>
      <c r="F29" s="134">
        <f t="shared" si="2"/>
        <v>2</v>
      </c>
      <c r="G29" s="134">
        <f t="shared" si="2"/>
        <v>2</v>
      </c>
      <c r="H29" s="134">
        <f t="shared" si="2"/>
        <v>2</v>
      </c>
      <c r="I29" s="134">
        <f t="shared" si="2"/>
        <v>3</v>
      </c>
      <c r="J29" s="134">
        <f t="shared" si="2"/>
        <v>3</v>
      </c>
      <c r="K29" s="134">
        <f t="shared" si="2"/>
        <v>3</v>
      </c>
      <c r="L29" s="134">
        <f t="shared" si="2"/>
        <v>3</v>
      </c>
      <c r="M29" s="134">
        <f t="shared" si="2"/>
        <v>3</v>
      </c>
      <c r="N29" s="134">
        <f t="shared" si="2"/>
        <v>3</v>
      </c>
      <c r="O29" s="134">
        <f t="shared" si="2"/>
        <v>3</v>
      </c>
      <c r="P29" s="134">
        <f t="shared" si="2"/>
        <v>3</v>
      </c>
      <c r="Q29" s="134"/>
      <c r="R29" s="134"/>
      <c r="S29" s="134"/>
      <c r="T29" s="134"/>
      <c r="U29" s="134"/>
      <c r="V29" s="134"/>
    </row>
    <row r="30" spans="1:22" x14ac:dyDescent="0.25">
      <c r="C30" s="135"/>
      <c r="D30" s="135"/>
      <c r="E30" s="135"/>
      <c r="F30" s="135"/>
      <c r="G30" s="135"/>
      <c r="H30" s="135"/>
      <c r="I30" s="135"/>
      <c r="J30" s="135"/>
      <c r="K30" s="135"/>
      <c r="L30" s="135"/>
      <c r="M30" s="135"/>
      <c r="N30" s="135"/>
      <c r="O30" s="135"/>
      <c r="P30" s="135"/>
      <c r="Q30" s="136"/>
      <c r="R30" s="136"/>
      <c r="S30" s="136"/>
      <c r="T30" s="136"/>
      <c r="U30" s="136"/>
      <c r="V30" s="136"/>
    </row>
    <row r="31" spans="1:22" ht="13" x14ac:dyDescent="0.3">
      <c r="B31" s="130" t="s">
        <v>190</v>
      </c>
      <c r="C31" s="136"/>
      <c r="D31" s="136"/>
      <c r="E31" s="136"/>
      <c r="F31" s="136"/>
      <c r="G31" s="136"/>
      <c r="H31" s="136"/>
      <c r="I31" s="136"/>
      <c r="J31" s="136"/>
      <c r="K31" s="136"/>
      <c r="L31" s="136"/>
      <c r="M31" s="136"/>
      <c r="N31" s="136"/>
      <c r="O31" s="136"/>
      <c r="P31" s="136"/>
      <c r="Q31" s="136"/>
      <c r="R31" s="136"/>
      <c r="S31" s="136"/>
      <c r="T31" s="136"/>
      <c r="U31" s="136"/>
      <c r="V31" s="136"/>
    </row>
    <row r="32" spans="1:22" x14ac:dyDescent="0.25">
      <c r="A32" s="67" t="s">
        <v>47</v>
      </c>
      <c r="B32" s="60" t="s">
        <v>21</v>
      </c>
      <c r="C32" s="137">
        <f t="shared" ref="C32:H38" ca="1" si="3">CHOOSE(C$29,$C6,$C6+($D6-$C6)*(C$28-base_year+1-$C$23)/$C$24,0)</f>
        <v>0.12</v>
      </c>
      <c r="D32" s="137">
        <f t="shared" ca="1" si="3"/>
        <v>0.12</v>
      </c>
      <c r="E32" s="137">
        <f t="shared" ca="1" si="3"/>
        <v>0.12</v>
      </c>
      <c r="F32" s="137">
        <f t="shared" ca="1" si="3"/>
        <v>0.11333333333333333</v>
      </c>
      <c r="G32" s="137">
        <f t="shared" ca="1" si="3"/>
        <v>0.10666666666666667</v>
      </c>
      <c r="H32" s="137">
        <f t="shared" ca="1" si="3"/>
        <v>0.1</v>
      </c>
      <c r="I32" s="137">
        <f t="shared" ref="I32:P32" si="4">CHOOSE(I$29,$C6,$C6+($D6-$C6)*(I$28-base_year+1-$C$23)/$C$24,0)</f>
        <v>0</v>
      </c>
      <c r="J32" s="137">
        <f t="shared" si="4"/>
        <v>0</v>
      </c>
      <c r="K32" s="137">
        <f t="shared" si="4"/>
        <v>0</v>
      </c>
      <c r="L32" s="137">
        <f t="shared" si="4"/>
        <v>0</v>
      </c>
      <c r="M32" s="137">
        <f t="shared" si="4"/>
        <v>0</v>
      </c>
      <c r="N32" s="137">
        <f t="shared" si="4"/>
        <v>0</v>
      </c>
      <c r="O32" s="137">
        <f t="shared" si="4"/>
        <v>0</v>
      </c>
      <c r="P32" s="137">
        <f t="shared" si="4"/>
        <v>0</v>
      </c>
      <c r="Q32" s="138"/>
      <c r="R32" s="138"/>
      <c r="S32" s="138"/>
      <c r="T32" s="138"/>
      <c r="U32" s="138"/>
      <c r="V32" s="138"/>
    </row>
    <row r="33" spans="1:22" x14ac:dyDescent="0.25">
      <c r="A33" s="67" t="s">
        <v>48</v>
      </c>
      <c r="B33" s="60" t="s">
        <v>128</v>
      </c>
      <c r="C33" s="137">
        <f t="shared" ca="1" si="3"/>
        <v>0.5</v>
      </c>
      <c r="D33" s="137">
        <f t="shared" ca="1" si="3"/>
        <v>0.5</v>
      </c>
      <c r="E33" s="137">
        <f t="shared" ca="1" si="3"/>
        <v>0.5</v>
      </c>
      <c r="F33" s="137">
        <f t="shared" ca="1" si="3"/>
        <v>0.3666666666666667</v>
      </c>
      <c r="G33" s="137">
        <f t="shared" ca="1" si="3"/>
        <v>0.23333333333333334</v>
      </c>
      <c r="H33" s="137">
        <f t="shared" ca="1" si="3"/>
        <v>9.9999999999999922E-2</v>
      </c>
      <c r="I33" s="137">
        <f t="shared" ref="I33:P33" si="5">CHOOSE(I$29,$C7,$C7+($D7-$C7)*(I$28-base_year+1-$C$23)/$C$24,0)</f>
        <v>0</v>
      </c>
      <c r="J33" s="137">
        <f t="shared" si="5"/>
        <v>0</v>
      </c>
      <c r="K33" s="137">
        <f t="shared" si="5"/>
        <v>0</v>
      </c>
      <c r="L33" s="137">
        <f t="shared" si="5"/>
        <v>0</v>
      </c>
      <c r="M33" s="137">
        <f t="shared" si="5"/>
        <v>0</v>
      </c>
      <c r="N33" s="137">
        <f t="shared" si="5"/>
        <v>0</v>
      </c>
      <c r="O33" s="137">
        <f t="shared" si="5"/>
        <v>0</v>
      </c>
      <c r="P33" s="137">
        <f t="shared" si="5"/>
        <v>0</v>
      </c>
      <c r="Q33" s="138"/>
      <c r="R33" s="138"/>
      <c r="S33" s="138"/>
      <c r="T33" s="138"/>
      <c r="U33" s="138"/>
      <c r="V33" s="138"/>
    </row>
    <row r="34" spans="1:22" x14ac:dyDescent="0.25">
      <c r="A34" s="67" t="s">
        <v>132</v>
      </c>
      <c r="B34" s="60" t="s">
        <v>129</v>
      </c>
      <c r="C34" s="137">
        <f t="shared" ca="1" si="3"/>
        <v>0.02</v>
      </c>
      <c r="D34" s="137">
        <f t="shared" ca="1" si="3"/>
        <v>0.02</v>
      </c>
      <c r="E34" s="137">
        <f t="shared" ca="1" si="3"/>
        <v>0.02</v>
      </c>
      <c r="F34" s="137">
        <f t="shared" ca="1" si="3"/>
        <v>0.02</v>
      </c>
      <c r="G34" s="137">
        <f t="shared" ca="1" si="3"/>
        <v>0.02</v>
      </c>
      <c r="H34" s="137">
        <f t="shared" ca="1" si="3"/>
        <v>0.02</v>
      </c>
      <c r="I34" s="137">
        <f t="shared" ref="I34:P34" si="6">CHOOSE(I$29,$C8,$C8+($D8-$C8)*(I$28-base_year+1-$C$23)/$C$24,0)</f>
        <v>0</v>
      </c>
      <c r="J34" s="137">
        <f t="shared" si="6"/>
        <v>0</v>
      </c>
      <c r="K34" s="137">
        <f t="shared" si="6"/>
        <v>0</v>
      </c>
      <c r="L34" s="137">
        <f t="shared" si="6"/>
        <v>0</v>
      </c>
      <c r="M34" s="137">
        <f t="shared" si="6"/>
        <v>0</v>
      </c>
      <c r="N34" s="137">
        <f t="shared" si="6"/>
        <v>0</v>
      </c>
      <c r="O34" s="137">
        <f t="shared" si="6"/>
        <v>0</v>
      </c>
      <c r="P34" s="137">
        <f t="shared" si="6"/>
        <v>0</v>
      </c>
      <c r="Q34" s="138"/>
      <c r="R34" s="138"/>
      <c r="S34" s="138"/>
      <c r="T34" s="138"/>
      <c r="U34" s="138"/>
      <c r="V34" s="138"/>
    </row>
    <row r="35" spans="1:22" x14ac:dyDescent="0.25">
      <c r="A35" s="67" t="s">
        <v>58</v>
      </c>
      <c r="B35" s="60" t="s">
        <v>20</v>
      </c>
      <c r="C35" s="137">
        <f t="shared" ca="1" si="3"/>
        <v>0.3</v>
      </c>
      <c r="D35" s="137">
        <f t="shared" ca="1" si="3"/>
        <v>0.3</v>
      </c>
      <c r="E35" s="137">
        <f t="shared" ca="1" si="3"/>
        <v>0.3</v>
      </c>
      <c r="F35" s="137">
        <f t="shared" ca="1" si="3"/>
        <v>0.3</v>
      </c>
      <c r="G35" s="137">
        <f t="shared" ca="1" si="3"/>
        <v>0.3</v>
      </c>
      <c r="H35" s="137">
        <f t="shared" ca="1" si="3"/>
        <v>0.3</v>
      </c>
      <c r="I35" s="137">
        <f t="shared" ref="I35:P35" si="7">CHOOSE(I$29,$C9,$C9+($D9-$C9)*(I$28-base_year+1-$C$23)/$C$24,0)</f>
        <v>0</v>
      </c>
      <c r="J35" s="137">
        <f t="shared" si="7"/>
        <v>0</v>
      </c>
      <c r="K35" s="137">
        <f t="shared" si="7"/>
        <v>0</v>
      </c>
      <c r="L35" s="137">
        <f t="shared" si="7"/>
        <v>0</v>
      </c>
      <c r="M35" s="137">
        <f t="shared" si="7"/>
        <v>0</v>
      </c>
      <c r="N35" s="137">
        <f t="shared" si="7"/>
        <v>0</v>
      </c>
      <c r="O35" s="137">
        <f t="shared" si="7"/>
        <v>0</v>
      </c>
      <c r="P35" s="137">
        <f t="shared" si="7"/>
        <v>0</v>
      </c>
      <c r="Q35" s="138"/>
      <c r="R35" s="138"/>
      <c r="S35" s="138"/>
      <c r="T35" s="138"/>
      <c r="U35" s="138"/>
      <c r="V35" s="138"/>
    </row>
    <row r="36" spans="1:22" x14ac:dyDescent="0.25">
      <c r="A36" s="67" t="s">
        <v>50</v>
      </c>
      <c r="B36" s="60" t="s">
        <v>81</v>
      </c>
      <c r="C36" s="137">
        <f t="shared" ca="1" si="3"/>
        <v>0.04</v>
      </c>
      <c r="D36" s="137">
        <f t="shared" ca="1" si="3"/>
        <v>0.04</v>
      </c>
      <c r="E36" s="137">
        <f t="shared" ca="1" si="3"/>
        <v>0.04</v>
      </c>
      <c r="F36" s="137">
        <f t="shared" ca="1" si="3"/>
        <v>0.04</v>
      </c>
      <c r="G36" s="137">
        <f t="shared" ca="1" si="3"/>
        <v>0.04</v>
      </c>
      <c r="H36" s="137">
        <f t="shared" ca="1" si="3"/>
        <v>0.04</v>
      </c>
      <c r="I36" s="137">
        <f t="shared" ref="I36:P36" si="8">CHOOSE(I$29,$C10,$C10+($D10-$C10)*(I$28-base_year+1-$C$23)/$C$24,0)</f>
        <v>0</v>
      </c>
      <c r="J36" s="137">
        <f t="shared" si="8"/>
        <v>0</v>
      </c>
      <c r="K36" s="137">
        <f t="shared" si="8"/>
        <v>0</v>
      </c>
      <c r="L36" s="137">
        <f t="shared" si="8"/>
        <v>0</v>
      </c>
      <c r="M36" s="137">
        <f t="shared" si="8"/>
        <v>0</v>
      </c>
      <c r="N36" s="137">
        <f t="shared" si="8"/>
        <v>0</v>
      </c>
      <c r="O36" s="137">
        <f t="shared" si="8"/>
        <v>0</v>
      </c>
      <c r="P36" s="137">
        <f t="shared" si="8"/>
        <v>0</v>
      </c>
      <c r="Q36" s="138"/>
      <c r="R36" s="138"/>
      <c r="S36" s="138"/>
      <c r="T36" s="138"/>
      <c r="U36" s="138"/>
      <c r="V36" s="138"/>
    </row>
    <row r="37" spans="1:22" x14ac:dyDescent="0.25">
      <c r="A37" s="67" t="s">
        <v>187</v>
      </c>
      <c r="B37" s="3" t="s">
        <v>188</v>
      </c>
      <c r="C37" s="137">
        <f t="shared" ca="1" si="3"/>
        <v>7.0000000000000007E-2</v>
      </c>
      <c r="D37" s="137">
        <f t="shared" ca="1" si="3"/>
        <v>7.0000000000000007E-2</v>
      </c>
      <c r="E37" s="137">
        <f t="shared" ca="1" si="3"/>
        <v>7.0000000000000007E-2</v>
      </c>
      <c r="F37" s="137">
        <f t="shared" ca="1" si="3"/>
        <v>7.0000000000000007E-2</v>
      </c>
      <c r="G37" s="137">
        <f t="shared" ca="1" si="3"/>
        <v>7.0000000000000007E-2</v>
      </c>
      <c r="H37" s="137">
        <f t="shared" ca="1" si="3"/>
        <v>7.0000000000000007E-2</v>
      </c>
      <c r="I37" s="137">
        <f t="shared" ref="I37:P37" si="9">CHOOSE(I$29,$C11,$C11+($D11-$C11)*(I$28-base_year+1-$C$23)/$C$24,0)</f>
        <v>0</v>
      </c>
      <c r="J37" s="137">
        <f t="shared" si="9"/>
        <v>0</v>
      </c>
      <c r="K37" s="137">
        <f t="shared" si="9"/>
        <v>0</v>
      </c>
      <c r="L37" s="137">
        <f t="shared" si="9"/>
        <v>0</v>
      </c>
      <c r="M37" s="137">
        <f t="shared" si="9"/>
        <v>0</v>
      </c>
      <c r="N37" s="137">
        <f t="shared" si="9"/>
        <v>0</v>
      </c>
      <c r="O37" s="137">
        <f t="shared" si="9"/>
        <v>0</v>
      </c>
      <c r="P37" s="137">
        <f t="shared" si="9"/>
        <v>0</v>
      </c>
      <c r="Q37" s="139"/>
      <c r="R37" s="139"/>
      <c r="S37" s="139"/>
      <c r="T37" s="139"/>
      <c r="U37" s="139"/>
      <c r="V37" s="139"/>
    </row>
    <row r="38" spans="1:22" x14ac:dyDescent="0.25">
      <c r="A38" s="67" t="s">
        <v>51</v>
      </c>
      <c r="B38" s="60" t="s">
        <v>82</v>
      </c>
      <c r="C38" s="137">
        <f t="shared" ca="1" si="3"/>
        <v>0.05</v>
      </c>
      <c r="D38" s="137">
        <f t="shared" ca="1" si="3"/>
        <v>0.05</v>
      </c>
      <c r="E38" s="137">
        <f t="shared" ca="1" si="3"/>
        <v>0.05</v>
      </c>
      <c r="F38" s="137">
        <f t="shared" ca="1" si="3"/>
        <v>0.04</v>
      </c>
      <c r="G38" s="137">
        <f t="shared" ca="1" si="3"/>
        <v>3.0000000000000002E-2</v>
      </c>
      <c r="H38" s="137">
        <f t="shared" ca="1" si="3"/>
        <v>0.02</v>
      </c>
      <c r="I38" s="137">
        <f t="shared" ref="I38:P38" si="10">CHOOSE(I$29,$C12,$C12+($D12-$C12)*(I$28-base_year+1-$C$23)/$C$24,0)</f>
        <v>0</v>
      </c>
      <c r="J38" s="137">
        <f t="shared" si="10"/>
        <v>0</v>
      </c>
      <c r="K38" s="137">
        <f t="shared" si="10"/>
        <v>0</v>
      </c>
      <c r="L38" s="137">
        <f t="shared" si="10"/>
        <v>0</v>
      </c>
      <c r="M38" s="137">
        <f t="shared" si="10"/>
        <v>0</v>
      </c>
      <c r="N38" s="137">
        <f t="shared" si="10"/>
        <v>0</v>
      </c>
      <c r="O38" s="137">
        <f t="shared" si="10"/>
        <v>0</v>
      </c>
      <c r="P38" s="137">
        <f t="shared" si="10"/>
        <v>0</v>
      </c>
      <c r="Q38" s="138"/>
      <c r="R38" s="138"/>
      <c r="S38" s="138"/>
      <c r="T38" s="138"/>
      <c r="U38" s="138"/>
      <c r="V38" s="138"/>
    </row>
    <row r="39" spans="1:22" x14ac:dyDescent="0.25">
      <c r="C39" s="140"/>
      <c r="D39" s="140"/>
      <c r="E39" s="140"/>
      <c r="F39" s="140"/>
      <c r="G39" s="140"/>
      <c r="H39" s="140"/>
      <c r="I39" s="140"/>
      <c r="J39" s="141"/>
      <c r="K39" s="140"/>
      <c r="L39" s="140"/>
      <c r="M39" s="140"/>
      <c r="N39" s="140"/>
      <c r="O39" s="140"/>
      <c r="P39" s="140"/>
      <c r="Q39" s="140"/>
      <c r="R39" s="140"/>
      <c r="S39" s="140"/>
      <c r="T39" s="140"/>
      <c r="U39" s="140"/>
      <c r="V39" s="140"/>
    </row>
    <row r="40" spans="1:22" ht="13" x14ac:dyDescent="0.3">
      <c r="B40" s="130" t="s">
        <v>233</v>
      </c>
      <c r="C40" s="140"/>
      <c r="D40" s="140"/>
      <c r="E40" s="140"/>
      <c r="F40" s="140"/>
      <c r="G40" s="140"/>
      <c r="H40" s="140"/>
      <c r="I40" s="140"/>
      <c r="J40" s="141"/>
      <c r="K40" s="140"/>
      <c r="L40" s="140"/>
      <c r="M40" s="140"/>
      <c r="N40" s="140"/>
      <c r="O40" s="140"/>
      <c r="P40" s="140"/>
      <c r="Q40" s="140"/>
      <c r="R40" s="140"/>
      <c r="S40" s="140"/>
      <c r="T40" s="140"/>
      <c r="U40" s="140"/>
      <c r="V40" s="140"/>
    </row>
    <row r="41" spans="1:22" s="144" customFormat="1" x14ac:dyDescent="0.25">
      <c r="A41" s="67"/>
      <c r="B41" s="142" t="s">
        <v>219</v>
      </c>
      <c r="C41" s="138">
        <f t="shared" ref="C41:P41" ca="1" si="11">C215*(C29&lt;3)</f>
        <v>4.0052367121421795E-2</v>
      </c>
      <c r="D41" s="138">
        <f t="shared" ca="1" si="11"/>
        <v>4.0052367121421795E-2</v>
      </c>
      <c r="E41" s="138">
        <f t="shared" ca="1" si="11"/>
        <v>4.0052367121421795E-2</v>
      </c>
      <c r="F41" s="138">
        <f t="shared" ca="1" si="11"/>
        <v>4.0009204094902384E-2</v>
      </c>
      <c r="G41" s="138">
        <f t="shared" ca="1" si="11"/>
        <v>4.0000188496415234E-2</v>
      </c>
      <c r="H41" s="138">
        <f t="shared" ca="1" si="11"/>
        <v>4.0000000000080103E-2</v>
      </c>
      <c r="I41" s="138">
        <f t="shared" ca="1" si="11"/>
        <v>0</v>
      </c>
      <c r="J41" s="138">
        <f t="shared" ca="1" si="11"/>
        <v>0</v>
      </c>
      <c r="K41" s="138">
        <f t="shared" ca="1" si="11"/>
        <v>0</v>
      </c>
      <c r="L41" s="138">
        <f t="shared" ca="1" si="11"/>
        <v>0</v>
      </c>
      <c r="M41" s="138">
        <f t="shared" ca="1" si="11"/>
        <v>0</v>
      </c>
      <c r="N41" s="138">
        <f t="shared" ca="1" si="11"/>
        <v>0</v>
      </c>
      <c r="O41" s="138">
        <f t="shared" ca="1" si="11"/>
        <v>0</v>
      </c>
      <c r="P41" s="138">
        <f t="shared" ca="1" si="11"/>
        <v>0</v>
      </c>
      <c r="Q41" s="143"/>
      <c r="R41" s="143"/>
      <c r="S41" s="143"/>
      <c r="T41" s="143"/>
      <c r="U41" s="143"/>
      <c r="V41" s="143"/>
    </row>
    <row r="42" spans="1:22" s="144" customFormat="1" x14ac:dyDescent="0.25">
      <c r="A42" s="67"/>
      <c r="B42" s="142" t="s">
        <v>220</v>
      </c>
      <c r="C42" s="138">
        <f t="shared" ref="C42:P42" ca="1" si="12">C41*(1-C35)*(C29&lt;3)</f>
        <v>2.8036656984995256E-2</v>
      </c>
      <c r="D42" s="138">
        <f t="shared" ca="1" si="12"/>
        <v>2.8036656984995256E-2</v>
      </c>
      <c r="E42" s="138">
        <f t="shared" ca="1" si="12"/>
        <v>2.8036656984995256E-2</v>
      </c>
      <c r="F42" s="138">
        <f t="shared" ca="1" si="12"/>
        <v>2.8006442866431665E-2</v>
      </c>
      <c r="G42" s="138">
        <f t="shared" ca="1" si="12"/>
        <v>2.8000131947490663E-2</v>
      </c>
      <c r="H42" s="138">
        <f t="shared" ca="1" si="12"/>
        <v>2.800000000005607E-2</v>
      </c>
      <c r="I42" s="138">
        <f t="shared" ca="1" si="12"/>
        <v>0</v>
      </c>
      <c r="J42" s="138">
        <f t="shared" ca="1" si="12"/>
        <v>0</v>
      </c>
      <c r="K42" s="138">
        <f t="shared" ca="1" si="12"/>
        <v>0</v>
      </c>
      <c r="L42" s="138">
        <f t="shared" ca="1" si="12"/>
        <v>0</v>
      </c>
      <c r="M42" s="138">
        <f t="shared" ca="1" si="12"/>
        <v>0</v>
      </c>
      <c r="N42" s="138">
        <f t="shared" ca="1" si="12"/>
        <v>0</v>
      </c>
      <c r="O42" s="138">
        <f t="shared" ca="1" si="12"/>
        <v>0</v>
      </c>
      <c r="P42" s="138">
        <f t="shared" ca="1" si="12"/>
        <v>0</v>
      </c>
      <c r="Q42" s="143"/>
      <c r="R42" s="143"/>
      <c r="S42" s="143"/>
      <c r="T42" s="143"/>
      <c r="U42" s="143"/>
      <c r="V42" s="143"/>
    </row>
    <row r="43" spans="1:22" s="144" customFormat="1" x14ac:dyDescent="0.25">
      <c r="A43" s="67" t="s">
        <v>116</v>
      </c>
      <c r="B43" s="142" t="s">
        <v>117</v>
      </c>
      <c r="C43" s="138">
        <f t="shared" ref="C43:H43" ca="1" si="13">C37+C36</f>
        <v>0.11000000000000001</v>
      </c>
      <c r="D43" s="138">
        <f t="shared" ca="1" si="13"/>
        <v>0.11000000000000001</v>
      </c>
      <c r="E43" s="138">
        <f t="shared" ca="1" si="13"/>
        <v>0.11000000000000001</v>
      </c>
      <c r="F43" s="138">
        <f t="shared" ca="1" si="13"/>
        <v>0.11000000000000001</v>
      </c>
      <c r="G43" s="138">
        <f t="shared" ca="1" si="13"/>
        <v>0.11000000000000001</v>
      </c>
      <c r="H43" s="138">
        <f t="shared" ca="1" si="13"/>
        <v>0.11000000000000001</v>
      </c>
      <c r="I43" s="138">
        <f t="shared" ref="I43:P43" si="14">I37+I36</f>
        <v>0</v>
      </c>
      <c r="J43" s="138">
        <f t="shared" si="14"/>
        <v>0</v>
      </c>
      <c r="K43" s="138">
        <f t="shared" si="14"/>
        <v>0</v>
      </c>
      <c r="L43" s="138">
        <f t="shared" si="14"/>
        <v>0</v>
      </c>
      <c r="M43" s="138">
        <f t="shared" si="14"/>
        <v>0</v>
      </c>
      <c r="N43" s="138">
        <f t="shared" si="14"/>
        <v>0</v>
      </c>
      <c r="O43" s="138">
        <f t="shared" si="14"/>
        <v>0</v>
      </c>
      <c r="P43" s="138">
        <f t="shared" si="14"/>
        <v>0</v>
      </c>
      <c r="Q43" s="143"/>
      <c r="R43" s="143"/>
      <c r="S43" s="143"/>
      <c r="T43" s="143"/>
      <c r="U43" s="143"/>
      <c r="V43" s="143"/>
    </row>
    <row r="44" spans="1:22" x14ac:dyDescent="0.25">
      <c r="A44" s="67" t="s">
        <v>52</v>
      </c>
      <c r="B44" s="60" t="s">
        <v>22</v>
      </c>
      <c r="C44" s="138">
        <f ca="1">MAX(C126,C43)</f>
        <v>0.13419570669035974</v>
      </c>
      <c r="D44" s="138">
        <f t="shared" ref="D44:P44" ca="1" si="15">MAX(D126,D43)</f>
        <v>0.13491787926298826</v>
      </c>
      <c r="E44" s="138">
        <f t="shared" ca="1" si="15"/>
        <v>0.13572972111792056</v>
      </c>
      <c r="F44" s="138">
        <f t="shared" ca="1" si="15"/>
        <v>0.12940101169496052</v>
      </c>
      <c r="G44" s="138">
        <f t="shared" ca="1" si="15"/>
        <v>0.12250606139198217</v>
      </c>
      <c r="H44" s="138">
        <f t="shared" ca="1" si="15"/>
        <v>0.11535844471445318</v>
      </c>
      <c r="I44" s="138">
        <f t="shared" si="15"/>
        <v>0</v>
      </c>
      <c r="J44" s="138">
        <f t="shared" si="15"/>
        <v>0</v>
      </c>
      <c r="K44" s="138">
        <f t="shared" si="15"/>
        <v>0</v>
      </c>
      <c r="L44" s="138">
        <f t="shared" si="15"/>
        <v>0</v>
      </c>
      <c r="M44" s="138">
        <f t="shared" si="15"/>
        <v>0</v>
      </c>
      <c r="N44" s="138">
        <f t="shared" si="15"/>
        <v>0</v>
      </c>
      <c r="O44" s="138">
        <f t="shared" si="15"/>
        <v>0</v>
      </c>
      <c r="P44" s="138">
        <f t="shared" si="15"/>
        <v>0</v>
      </c>
      <c r="Q44" s="138"/>
      <c r="R44" s="138"/>
      <c r="S44" s="138"/>
      <c r="T44" s="138"/>
      <c r="U44" s="138"/>
      <c r="V44" s="138"/>
    </row>
    <row r="45" spans="1:22" x14ac:dyDescent="0.25">
      <c r="C45" s="140"/>
      <c r="D45" s="140"/>
      <c r="E45" s="140"/>
      <c r="F45" s="140"/>
      <c r="G45" s="140"/>
      <c r="H45" s="140"/>
      <c r="I45" s="140"/>
      <c r="J45" s="141"/>
      <c r="K45" s="140"/>
      <c r="L45" s="140"/>
      <c r="M45" s="140"/>
      <c r="N45" s="140"/>
      <c r="O45" s="140"/>
      <c r="P45" s="140"/>
      <c r="Q45" s="140"/>
      <c r="R45" s="140"/>
      <c r="S45" s="140"/>
      <c r="T45" s="140"/>
      <c r="U45" s="140"/>
      <c r="V45" s="140"/>
    </row>
    <row r="46" spans="1:22" ht="13" x14ac:dyDescent="0.3">
      <c r="C46" s="145">
        <f t="shared" ref="C46:M46" si="16">C28*(C29&lt;3)</f>
        <v>2020</v>
      </c>
      <c r="D46" s="145">
        <f t="shared" si="16"/>
        <v>2021</v>
      </c>
      <c r="E46" s="145">
        <f t="shared" si="16"/>
        <v>2022</v>
      </c>
      <c r="F46" s="145">
        <f t="shared" si="16"/>
        <v>2023</v>
      </c>
      <c r="G46" s="145">
        <f t="shared" si="16"/>
        <v>2024</v>
      </c>
      <c r="H46" s="145">
        <f t="shared" si="16"/>
        <v>2025</v>
      </c>
      <c r="I46" s="145">
        <f t="shared" si="16"/>
        <v>0</v>
      </c>
      <c r="J46" s="145">
        <f t="shared" si="16"/>
        <v>0</v>
      </c>
      <c r="K46" s="145">
        <f t="shared" si="16"/>
        <v>0</v>
      </c>
      <c r="L46" s="145">
        <f t="shared" si="16"/>
        <v>0</v>
      </c>
      <c r="M46" s="145">
        <f t="shared" si="16"/>
        <v>0</v>
      </c>
      <c r="N46" s="145">
        <f>N28*(N29&lt;3)</f>
        <v>0</v>
      </c>
      <c r="O46" s="145">
        <f>O28*(O29&lt;3)</f>
        <v>0</v>
      </c>
      <c r="P46" s="145">
        <f>P28*(P29&lt;3)</f>
        <v>0</v>
      </c>
      <c r="Q46" s="145"/>
      <c r="R46" s="145"/>
      <c r="S46" s="145"/>
      <c r="T46" s="145"/>
      <c r="U46" s="145"/>
      <c r="V46" s="145"/>
    </row>
    <row r="47" spans="1:22" ht="13" x14ac:dyDescent="0.3">
      <c r="B47" s="146" t="s">
        <v>2</v>
      </c>
      <c r="C47" s="145"/>
      <c r="D47" s="145"/>
      <c r="E47" s="145"/>
      <c r="F47" s="145"/>
      <c r="G47" s="145"/>
      <c r="H47" s="145"/>
      <c r="I47" s="145"/>
      <c r="J47" s="145"/>
      <c r="K47" s="145"/>
      <c r="L47" s="145"/>
      <c r="M47" s="145"/>
      <c r="N47" s="145"/>
      <c r="O47" s="145"/>
      <c r="P47" s="145"/>
      <c r="Q47" s="145"/>
      <c r="R47" s="145"/>
      <c r="S47" s="145"/>
      <c r="T47" s="145"/>
      <c r="U47" s="145"/>
      <c r="V47" s="145"/>
    </row>
    <row r="48" spans="1:22" x14ac:dyDescent="0.25">
      <c r="A48" s="147" t="s">
        <v>53</v>
      </c>
      <c r="B48" s="60" t="s">
        <v>3</v>
      </c>
      <c r="C48" s="148">
        <f>hyper_opening_assets</f>
        <v>120</v>
      </c>
      <c r="D48" s="148">
        <f t="shared" ref="D48:P48" ca="1" si="17">(D49+D50)*(D29&lt;3)</f>
        <v>126</v>
      </c>
      <c r="E48" s="148">
        <f t="shared" ca="1" si="17"/>
        <v>132.30000000000001</v>
      </c>
      <c r="F48" s="148">
        <f t="shared" ca="1" si="17"/>
        <v>138.91500000000002</v>
      </c>
      <c r="G48" s="148">
        <f t="shared" ca="1" si="17"/>
        <v>144.47160000000002</v>
      </c>
      <c r="H48" s="148">
        <f t="shared" ca="1" si="17"/>
        <v>148.80574800000005</v>
      </c>
      <c r="I48" s="148">
        <f t="shared" ca="1" si="17"/>
        <v>0</v>
      </c>
      <c r="J48" s="148">
        <f t="shared" ca="1" si="17"/>
        <v>0</v>
      </c>
      <c r="K48" s="148">
        <f t="shared" ca="1" si="17"/>
        <v>0</v>
      </c>
      <c r="L48" s="148">
        <f t="shared" ca="1" si="17"/>
        <v>0</v>
      </c>
      <c r="M48" s="148">
        <f t="shared" ca="1" si="17"/>
        <v>0</v>
      </c>
      <c r="N48" s="148">
        <f t="shared" ca="1" si="17"/>
        <v>0</v>
      </c>
      <c r="O48" s="148">
        <f t="shared" ca="1" si="17"/>
        <v>0</v>
      </c>
      <c r="P48" s="148">
        <f t="shared" ca="1" si="17"/>
        <v>0</v>
      </c>
      <c r="Q48" s="149"/>
      <c r="R48" s="149"/>
      <c r="S48" s="149"/>
      <c r="T48" s="149"/>
      <c r="U48" s="149"/>
      <c r="V48" s="149"/>
    </row>
    <row r="49" spans="1:22" x14ac:dyDescent="0.25">
      <c r="A49" s="147" t="s">
        <v>54</v>
      </c>
      <c r="B49" s="60" t="s">
        <v>12</v>
      </c>
      <c r="C49" s="148">
        <f ca="1">C48-C50</f>
        <v>40</v>
      </c>
      <c r="D49" s="148">
        <f t="shared" ref="D49:P49" ca="1" si="18">(C49+C70)*(D29&lt;3)</f>
        <v>42</v>
      </c>
      <c r="E49" s="148">
        <f t="shared" ca="1" si="18"/>
        <v>44.1</v>
      </c>
      <c r="F49" s="148">
        <f t="shared" ca="1" si="18"/>
        <v>37.269878048780491</v>
      </c>
      <c r="G49" s="148">
        <f t="shared" ca="1" si="18"/>
        <v>27.33246486486486</v>
      </c>
      <c r="H49" s="148">
        <f t="shared" ca="1" si="18"/>
        <v>13.527795272727261</v>
      </c>
      <c r="I49" s="148">
        <f t="shared" ca="1" si="18"/>
        <v>0</v>
      </c>
      <c r="J49" s="148">
        <f t="shared" ca="1" si="18"/>
        <v>0</v>
      </c>
      <c r="K49" s="148">
        <f t="shared" ca="1" si="18"/>
        <v>0</v>
      </c>
      <c r="L49" s="148">
        <f t="shared" ca="1" si="18"/>
        <v>0</v>
      </c>
      <c r="M49" s="148">
        <f t="shared" ca="1" si="18"/>
        <v>0</v>
      </c>
      <c r="N49" s="148">
        <f t="shared" ca="1" si="18"/>
        <v>0</v>
      </c>
      <c r="O49" s="148">
        <f t="shared" ca="1" si="18"/>
        <v>0</v>
      </c>
      <c r="P49" s="148">
        <f t="shared" ca="1" si="18"/>
        <v>0</v>
      </c>
      <c r="Q49" s="149"/>
      <c r="R49" s="149"/>
      <c r="S49" s="149"/>
      <c r="T49" s="149"/>
      <c r="U49" s="149"/>
      <c r="V49" s="149"/>
    </row>
    <row r="50" spans="1:22" x14ac:dyDescent="0.25">
      <c r="A50" s="147" t="s">
        <v>55</v>
      </c>
      <c r="B50" s="60" t="s">
        <v>0</v>
      </c>
      <c r="C50" s="148">
        <f ca="1">C48/(1+C33)</f>
        <v>80</v>
      </c>
      <c r="D50" s="148">
        <f t="shared" ref="D50:P50" ca="1" si="19">C84*(D29&lt;3)</f>
        <v>84</v>
      </c>
      <c r="E50" s="148">
        <f t="shared" ca="1" si="19"/>
        <v>88.2</v>
      </c>
      <c r="F50" s="148">
        <f t="shared" ca="1" si="19"/>
        <v>101.64512195121952</v>
      </c>
      <c r="G50" s="148">
        <f t="shared" ca="1" si="19"/>
        <v>117.13913513513515</v>
      </c>
      <c r="H50" s="148">
        <f t="shared" ca="1" si="19"/>
        <v>135.27795272727278</v>
      </c>
      <c r="I50" s="148">
        <f t="shared" ca="1" si="19"/>
        <v>0</v>
      </c>
      <c r="J50" s="148">
        <f t="shared" ca="1" si="19"/>
        <v>0</v>
      </c>
      <c r="K50" s="148">
        <f t="shared" ca="1" si="19"/>
        <v>0</v>
      </c>
      <c r="L50" s="148">
        <f t="shared" ca="1" si="19"/>
        <v>0</v>
      </c>
      <c r="M50" s="148">
        <f t="shared" ca="1" si="19"/>
        <v>0</v>
      </c>
      <c r="N50" s="148">
        <f t="shared" ca="1" si="19"/>
        <v>0</v>
      </c>
      <c r="O50" s="148">
        <f t="shared" ca="1" si="19"/>
        <v>0</v>
      </c>
      <c r="P50" s="148">
        <f t="shared" ca="1" si="19"/>
        <v>0</v>
      </c>
      <c r="Q50" s="149"/>
      <c r="R50" s="149"/>
      <c r="S50" s="149"/>
      <c r="T50" s="149"/>
      <c r="U50" s="149"/>
      <c r="V50" s="149"/>
    </row>
    <row r="51" spans="1:22" x14ac:dyDescent="0.25">
      <c r="A51" s="147"/>
      <c r="B51" s="60"/>
      <c r="C51" s="150"/>
      <c r="D51" s="151"/>
      <c r="E51" s="150"/>
      <c r="F51" s="150"/>
      <c r="G51" s="141"/>
      <c r="H51" s="150"/>
      <c r="I51" s="150"/>
      <c r="J51" s="150"/>
      <c r="K51" s="150"/>
      <c r="L51" s="150"/>
      <c r="M51" s="150"/>
      <c r="N51" s="150"/>
      <c r="O51" s="150"/>
      <c r="P51" s="150"/>
      <c r="Q51" s="150"/>
      <c r="R51" s="150"/>
      <c r="S51" s="150"/>
      <c r="T51" s="150"/>
      <c r="U51" s="150"/>
      <c r="V51" s="150"/>
    </row>
    <row r="52" spans="1:22" ht="13" x14ac:dyDescent="0.3">
      <c r="A52" s="147"/>
      <c r="B52" s="146" t="s">
        <v>4</v>
      </c>
      <c r="C52" s="150"/>
      <c r="D52" s="150"/>
      <c r="E52" s="150"/>
      <c r="F52" s="150"/>
      <c r="G52" s="150"/>
      <c r="H52" s="150"/>
      <c r="I52" s="150"/>
      <c r="J52" s="150"/>
      <c r="K52" s="150"/>
      <c r="L52" s="150"/>
      <c r="M52" s="150"/>
      <c r="N52" s="150"/>
      <c r="O52" s="150"/>
      <c r="P52" s="150"/>
      <c r="Q52" s="150"/>
      <c r="R52" s="150"/>
      <c r="S52" s="150"/>
      <c r="T52" s="150"/>
      <c r="U52" s="150"/>
      <c r="V52" s="150"/>
    </row>
    <row r="53" spans="1:22" x14ac:dyDescent="0.25">
      <c r="A53" s="147" t="s">
        <v>70</v>
      </c>
      <c r="B53" s="142" t="s">
        <v>15</v>
      </c>
      <c r="C53" s="148">
        <f t="shared" ref="C53:P53" ca="1" si="20">C55-C54</f>
        <v>22.971428571428568</v>
      </c>
      <c r="D53" s="148">
        <f t="shared" ca="1" si="20"/>
        <v>24.12</v>
      </c>
      <c r="E53" s="148">
        <f t="shared" ca="1" si="20"/>
        <v>25.326000000000004</v>
      </c>
      <c r="F53" s="148">
        <f t="shared" ca="1" si="20"/>
        <v>25.269300000000005</v>
      </c>
      <c r="G53" s="148">
        <f t="shared" ca="1" si="20"/>
        <v>24.904152000000007</v>
      </c>
      <c r="H53" s="148">
        <f t="shared" ca="1" si="20"/>
        <v>24.234078960000009</v>
      </c>
      <c r="I53" s="148">
        <f t="shared" ca="1" si="20"/>
        <v>0</v>
      </c>
      <c r="J53" s="148">
        <f t="shared" ca="1" si="20"/>
        <v>0</v>
      </c>
      <c r="K53" s="148">
        <f t="shared" ca="1" si="20"/>
        <v>0</v>
      </c>
      <c r="L53" s="148">
        <f t="shared" ca="1" si="20"/>
        <v>0</v>
      </c>
      <c r="M53" s="148">
        <f t="shared" ca="1" si="20"/>
        <v>0</v>
      </c>
      <c r="N53" s="148">
        <f t="shared" ca="1" si="20"/>
        <v>0</v>
      </c>
      <c r="O53" s="148">
        <f t="shared" ca="1" si="20"/>
        <v>0</v>
      </c>
      <c r="P53" s="148">
        <f t="shared" ca="1" si="20"/>
        <v>0</v>
      </c>
      <c r="Q53" s="149"/>
      <c r="R53" s="149"/>
      <c r="S53" s="149"/>
      <c r="T53" s="149"/>
      <c r="U53" s="149"/>
      <c r="V53" s="149"/>
    </row>
    <row r="54" spans="1:22" x14ac:dyDescent="0.25">
      <c r="A54" s="67" t="s">
        <v>131</v>
      </c>
      <c r="B54" s="152" t="s">
        <v>133</v>
      </c>
      <c r="C54" s="150">
        <f t="shared" ref="C54:P54" ca="1" si="21">-C48*C34</f>
        <v>-2.4</v>
      </c>
      <c r="D54" s="150">
        <f t="shared" ca="1" si="21"/>
        <v>-2.52</v>
      </c>
      <c r="E54" s="150">
        <f t="shared" ca="1" si="21"/>
        <v>-2.6460000000000004</v>
      </c>
      <c r="F54" s="150">
        <f t="shared" ca="1" si="21"/>
        <v>-2.7783000000000007</v>
      </c>
      <c r="G54" s="150">
        <f t="shared" ca="1" si="21"/>
        <v>-2.8894320000000007</v>
      </c>
      <c r="H54" s="150">
        <f t="shared" ca="1" si="21"/>
        <v>-2.9761149600000012</v>
      </c>
      <c r="I54" s="150">
        <f t="shared" ca="1" si="21"/>
        <v>0</v>
      </c>
      <c r="J54" s="150">
        <f t="shared" ca="1" si="21"/>
        <v>0</v>
      </c>
      <c r="K54" s="150">
        <f t="shared" ca="1" si="21"/>
        <v>0</v>
      </c>
      <c r="L54" s="150">
        <f t="shared" ca="1" si="21"/>
        <v>0</v>
      </c>
      <c r="M54" s="150">
        <f t="shared" ca="1" si="21"/>
        <v>0</v>
      </c>
      <c r="N54" s="150">
        <f t="shared" ca="1" si="21"/>
        <v>0</v>
      </c>
      <c r="O54" s="150">
        <f t="shared" ca="1" si="21"/>
        <v>0</v>
      </c>
      <c r="P54" s="150">
        <f t="shared" ca="1" si="21"/>
        <v>0</v>
      </c>
      <c r="Q54" s="149"/>
      <c r="R54" s="149"/>
      <c r="S54" s="149"/>
      <c r="T54" s="149"/>
      <c r="U54" s="149"/>
      <c r="V54" s="149"/>
    </row>
    <row r="55" spans="1:22" x14ac:dyDescent="0.25">
      <c r="A55" s="147" t="s">
        <v>56</v>
      </c>
      <c r="B55" s="60" t="s">
        <v>83</v>
      </c>
      <c r="C55" s="148">
        <f t="shared" ref="C55:P55" ca="1" si="22">C48*C32/(1-C35)</f>
        <v>20.571428571428569</v>
      </c>
      <c r="D55" s="148">
        <f t="shared" ca="1" si="22"/>
        <v>21.6</v>
      </c>
      <c r="E55" s="148">
        <f t="shared" ca="1" si="22"/>
        <v>22.680000000000003</v>
      </c>
      <c r="F55" s="148">
        <f t="shared" ca="1" si="22"/>
        <v>22.491000000000003</v>
      </c>
      <c r="G55" s="148">
        <f t="shared" ca="1" si="22"/>
        <v>22.014720000000008</v>
      </c>
      <c r="H55" s="148">
        <f t="shared" ca="1" si="22"/>
        <v>21.257964000000008</v>
      </c>
      <c r="I55" s="148">
        <f t="shared" ca="1" si="22"/>
        <v>0</v>
      </c>
      <c r="J55" s="148">
        <f t="shared" ca="1" si="22"/>
        <v>0</v>
      </c>
      <c r="K55" s="148">
        <f t="shared" ca="1" si="22"/>
        <v>0</v>
      </c>
      <c r="L55" s="148">
        <f t="shared" ca="1" si="22"/>
        <v>0</v>
      </c>
      <c r="M55" s="148">
        <f t="shared" ca="1" si="22"/>
        <v>0</v>
      </c>
      <c r="N55" s="148">
        <f t="shared" ca="1" si="22"/>
        <v>0</v>
      </c>
      <c r="O55" s="148">
        <f t="shared" ca="1" si="22"/>
        <v>0</v>
      </c>
      <c r="P55" s="148">
        <f t="shared" ca="1" si="22"/>
        <v>0</v>
      </c>
      <c r="Q55" s="149"/>
      <c r="R55" s="149"/>
      <c r="S55" s="149"/>
      <c r="T55" s="149"/>
      <c r="U55" s="149"/>
      <c r="V55" s="149"/>
    </row>
    <row r="56" spans="1:22" x14ac:dyDescent="0.25">
      <c r="A56" s="147" t="s">
        <v>57</v>
      </c>
      <c r="B56" s="153" t="s">
        <v>84</v>
      </c>
      <c r="C56" s="150">
        <f t="shared" ref="C56:P56" ca="1" si="23">-C49*C41</f>
        <v>-1.6020946848568718</v>
      </c>
      <c r="D56" s="150">
        <f t="shared" ca="1" si="23"/>
        <v>-1.6821994190997154</v>
      </c>
      <c r="E56" s="150">
        <f t="shared" ca="1" si="23"/>
        <v>-1.7663093900547011</v>
      </c>
      <c r="F56" s="150">
        <f t="shared" ca="1" si="23"/>
        <v>-1.4911381574457809</v>
      </c>
      <c r="G56" s="150">
        <f t="shared" ca="1" si="23"/>
        <v>-1.093303746666241</v>
      </c>
      <c r="H56" s="150">
        <f t="shared" ca="1" si="23"/>
        <v>-0.54111181091017402</v>
      </c>
      <c r="I56" s="150">
        <f t="shared" ca="1" si="23"/>
        <v>0</v>
      </c>
      <c r="J56" s="150">
        <f t="shared" ca="1" si="23"/>
        <v>0</v>
      </c>
      <c r="K56" s="150">
        <f t="shared" ca="1" si="23"/>
        <v>0</v>
      </c>
      <c r="L56" s="150">
        <f t="shared" ca="1" si="23"/>
        <v>0</v>
      </c>
      <c r="M56" s="150">
        <f t="shared" ca="1" si="23"/>
        <v>0</v>
      </c>
      <c r="N56" s="150">
        <f t="shared" ca="1" si="23"/>
        <v>0</v>
      </c>
      <c r="O56" s="150">
        <f t="shared" ca="1" si="23"/>
        <v>0</v>
      </c>
      <c r="P56" s="150">
        <f t="shared" ca="1" si="23"/>
        <v>0</v>
      </c>
      <c r="Q56" s="149"/>
      <c r="R56" s="149"/>
      <c r="S56" s="149"/>
      <c r="T56" s="149"/>
      <c r="U56" s="149"/>
      <c r="V56" s="149"/>
    </row>
    <row r="57" spans="1:22" x14ac:dyDescent="0.25">
      <c r="A57" s="147"/>
      <c r="B57" s="60" t="s">
        <v>85</v>
      </c>
      <c r="C57" s="148">
        <f t="shared" ref="C57:P57" ca="1" si="24">C55+C56</f>
        <v>18.969333886571697</v>
      </c>
      <c r="D57" s="148">
        <f t="shared" ca="1" si="24"/>
        <v>19.917800580900288</v>
      </c>
      <c r="E57" s="148">
        <f t="shared" ca="1" si="24"/>
        <v>20.913690609945302</v>
      </c>
      <c r="F57" s="148">
        <f t="shared" ca="1" si="24"/>
        <v>20.999861842554221</v>
      </c>
      <c r="G57" s="148">
        <f t="shared" ca="1" si="24"/>
        <v>20.921416253333767</v>
      </c>
      <c r="H57" s="148">
        <f t="shared" ca="1" si="24"/>
        <v>20.716852189089835</v>
      </c>
      <c r="I57" s="148">
        <f t="shared" ca="1" si="24"/>
        <v>0</v>
      </c>
      <c r="J57" s="148">
        <f t="shared" ca="1" si="24"/>
        <v>0</v>
      </c>
      <c r="K57" s="148">
        <f t="shared" ca="1" si="24"/>
        <v>0</v>
      </c>
      <c r="L57" s="148">
        <f t="shared" ca="1" si="24"/>
        <v>0</v>
      </c>
      <c r="M57" s="148">
        <f t="shared" ca="1" si="24"/>
        <v>0</v>
      </c>
      <c r="N57" s="148">
        <f t="shared" ca="1" si="24"/>
        <v>0</v>
      </c>
      <c r="O57" s="148">
        <f t="shared" ca="1" si="24"/>
        <v>0</v>
      </c>
      <c r="P57" s="148">
        <f t="shared" ca="1" si="24"/>
        <v>0</v>
      </c>
      <c r="Q57" s="149"/>
      <c r="R57" s="149"/>
      <c r="S57" s="149"/>
      <c r="T57" s="149"/>
      <c r="U57" s="149"/>
      <c r="V57" s="149"/>
    </row>
    <row r="58" spans="1:22" x14ac:dyDescent="0.25">
      <c r="A58" s="147" t="s">
        <v>49</v>
      </c>
      <c r="B58" s="153" t="s">
        <v>86</v>
      </c>
      <c r="C58" s="150">
        <f t="shared" ref="C58:P58" ca="1" si="25">-C35*C57</f>
        <v>-5.6908001659715088</v>
      </c>
      <c r="D58" s="150">
        <f t="shared" ca="1" si="25"/>
        <v>-5.9753401742700865</v>
      </c>
      <c r="E58" s="150">
        <f t="shared" ca="1" si="25"/>
        <v>-6.2741071829835908</v>
      </c>
      <c r="F58" s="150">
        <f t="shared" ca="1" si="25"/>
        <v>-6.2999585527662658</v>
      </c>
      <c r="G58" s="150">
        <f t="shared" ca="1" si="25"/>
        <v>-6.2764248760001298</v>
      </c>
      <c r="H58" s="150">
        <f t="shared" ca="1" si="25"/>
        <v>-6.2150556567269506</v>
      </c>
      <c r="I58" s="150">
        <f t="shared" ca="1" si="25"/>
        <v>0</v>
      </c>
      <c r="J58" s="150">
        <f t="shared" ca="1" si="25"/>
        <v>0</v>
      </c>
      <c r="K58" s="150">
        <f t="shared" ca="1" si="25"/>
        <v>0</v>
      </c>
      <c r="L58" s="150">
        <f t="shared" ca="1" si="25"/>
        <v>0</v>
      </c>
      <c r="M58" s="150">
        <f t="shared" ca="1" si="25"/>
        <v>0</v>
      </c>
      <c r="N58" s="150">
        <f t="shared" ca="1" si="25"/>
        <v>0</v>
      </c>
      <c r="O58" s="150">
        <f t="shared" ca="1" si="25"/>
        <v>0</v>
      </c>
      <c r="P58" s="150">
        <f t="shared" ca="1" si="25"/>
        <v>0</v>
      </c>
      <c r="Q58" s="149"/>
      <c r="R58" s="149"/>
      <c r="S58" s="149"/>
      <c r="T58" s="149"/>
      <c r="U58" s="149"/>
      <c r="V58" s="149"/>
    </row>
    <row r="59" spans="1:22" x14ac:dyDescent="0.25">
      <c r="A59" s="147" t="s">
        <v>59</v>
      </c>
      <c r="B59" s="60" t="s">
        <v>5</v>
      </c>
      <c r="C59" s="148">
        <f t="shared" ref="C59:P59" ca="1" si="26">SUM(C57:C58)</f>
        <v>13.278533720600187</v>
      </c>
      <c r="D59" s="148">
        <f t="shared" ca="1" si="26"/>
        <v>13.9424604066302</v>
      </c>
      <c r="E59" s="148">
        <f t="shared" ca="1" si="26"/>
        <v>14.63958342696171</v>
      </c>
      <c r="F59" s="148">
        <f t="shared" ca="1" si="26"/>
        <v>14.699903289787954</v>
      </c>
      <c r="G59" s="148">
        <f t="shared" ca="1" si="26"/>
        <v>14.644991377333637</v>
      </c>
      <c r="H59" s="148">
        <f t="shared" ca="1" si="26"/>
        <v>14.501796532362885</v>
      </c>
      <c r="I59" s="148">
        <f t="shared" ca="1" si="26"/>
        <v>0</v>
      </c>
      <c r="J59" s="148">
        <f t="shared" ca="1" si="26"/>
        <v>0</v>
      </c>
      <c r="K59" s="148">
        <f t="shared" ca="1" si="26"/>
        <v>0</v>
      </c>
      <c r="L59" s="148">
        <f t="shared" ca="1" si="26"/>
        <v>0</v>
      </c>
      <c r="M59" s="148">
        <f t="shared" ca="1" si="26"/>
        <v>0</v>
      </c>
      <c r="N59" s="148">
        <f t="shared" ca="1" si="26"/>
        <v>0</v>
      </c>
      <c r="O59" s="148">
        <f t="shared" ca="1" si="26"/>
        <v>0</v>
      </c>
      <c r="P59" s="148">
        <f t="shared" ca="1" si="26"/>
        <v>0</v>
      </c>
      <c r="Q59" s="149"/>
      <c r="R59" s="149"/>
      <c r="S59" s="149"/>
      <c r="T59" s="149"/>
      <c r="U59" s="149"/>
      <c r="V59" s="149"/>
    </row>
    <row r="60" spans="1:22" x14ac:dyDescent="0.25">
      <c r="A60" s="147"/>
      <c r="B60" s="60"/>
      <c r="C60" s="154"/>
      <c r="D60" s="154"/>
      <c r="E60" s="154"/>
      <c r="F60" s="154"/>
      <c r="G60" s="154"/>
      <c r="H60" s="154"/>
      <c r="I60" s="154"/>
      <c r="J60" s="154"/>
      <c r="K60" s="154"/>
      <c r="L60" s="154"/>
      <c r="M60" s="154"/>
      <c r="N60" s="154"/>
      <c r="O60" s="154"/>
      <c r="P60" s="154"/>
      <c r="Q60" s="154"/>
      <c r="R60" s="154"/>
      <c r="S60" s="154"/>
      <c r="T60" s="154"/>
      <c r="U60" s="154"/>
      <c r="V60" s="154"/>
    </row>
    <row r="61" spans="1:22" ht="13" x14ac:dyDescent="0.3">
      <c r="A61" s="147"/>
      <c r="B61" s="60"/>
      <c r="C61" s="145">
        <f>C$46</f>
        <v>2020</v>
      </c>
      <c r="D61" s="145">
        <f t="shared" ref="D61:P61" si="27">D$46</f>
        <v>2021</v>
      </c>
      <c r="E61" s="145">
        <f t="shared" si="27"/>
        <v>2022</v>
      </c>
      <c r="F61" s="145">
        <f t="shared" si="27"/>
        <v>2023</v>
      </c>
      <c r="G61" s="145">
        <f t="shared" si="27"/>
        <v>2024</v>
      </c>
      <c r="H61" s="145">
        <f t="shared" si="27"/>
        <v>2025</v>
      </c>
      <c r="I61" s="145">
        <f t="shared" si="27"/>
        <v>0</v>
      </c>
      <c r="J61" s="145">
        <f t="shared" si="27"/>
        <v>0</v>
      </c>
      <c r="K61" s="145">
        <f t="shared" si="27"/>
        <v>0</v>
      </c>
      <c r="L61" s="145">
        <f t="shared" si="27"/>
        <v>0</v>
      </c>
      <c r="M61" s="145">
        <f t="shared" si="27"/>
        <v>0</v>
      </c>
      <c r="N61" s="145">
        <f t="shared" si="27"/>
        <v>0</v>
      </c>
      <c r="O61" s="145">
        <f t="shared" si="27"/>
        <v>0</v>
      </c>
      <c r="P61" s="145">
        <f t="shared" si="27"/>
        <v>0</v>
      </c>
      <c r="Q61" s="154"/>
      <c r="R61" s="154"/>
      <c r="S61" s="154"/>
      <c r="T61" s="154"/>
      <c r="U61" s="154"/>
      <c r="V61" s="154"/>
    </row>
    <row r="62" spans="1:22" ht="13" x14ac:dyDescent="0.3">
      <c r="A62" s="147"/>
      <c r="B62" s="146" t="s">
        <v>6</v>
      </c>
      <c r="C62" s="150"/>
      <c r="D62" s="150"/>
      <c r="E62" s="150"/>
      <c r="F62" s="150"/>
      <c r="G62" s="150"/>
      <c r="H62" s="150"/>
      <c r="I62" s="150"/>
      <c r="J62" s="150"/>
      <c r="K62" s="150"/>
      <c r="L62" s="150"/>
      <c r="M62" s="150"/>
      <c r="N62" s="150"/>
      <c r="O62" s="150"/>
      <c r="P62" s="150"/>
      <c r="Q62" s="150"/>
      <c r="R62" s="150"/>
      <c r="S62" s="150"/>
      <c r="T62" s="150"/>
      <c r="U62" s="150"/>
      <c r="V62" s="150"/>
    </row>
    <row r="63" spans="1:22" ht="13" x14ac:dyDescent="0.3">
      <c r="A63" s="147"/>
      <c r="B63" s="155" t="s">
        <v>7</v>
      </c>
      <c r="C63" s="150"/>
      <c r="D63" s="150"/>
      <c r="E63" s="150"/>
      <c r="F63" s="150"/>
      <c r="G63" s="150"/>
      <c r="H63" s="150"/>
      <c r="I63" s="150"/>
      <c r="J63" s="150"/>
      <c r="K63" s="150"/>
      <c r="L63" s="150"/>
      <c r="M63" s="150"/>
      <c r="N63" s="150"/>
      <c r="O63" s="150"/>
      <c r="P63" s="150"/>
      <c r="Q63" s="150"/>
      <c r="R63" s="150"/>
      <c r="S63" s="150"/>
      <c r="T63" s="150"/>
      <c r="U63" s="150"/>
      <c r="V63" s="150"/>
    </row>
    <row r="64" spans="1:22" x14ac:dyDescent="0.25">
      <c r="A64" s="147"/>
      <c r="B64" s="60" t="s">
        <v>5</v>
      </c>
      <c r="C64" s="148">
        <f t="shared" ref="C64:P64" ca="1" si="28">C59</f>
        <v>13.278533720600187</v>
      </c>
      <c r="D64" s="148">
        <f t="shared" ca="1" si="28"/>
        <v>13.9424604066302</v>
      </c>
      <c r="E64" s="148">
        <f t="shared" ca="1" si="28"/>
        <v>14.63958342696171</v>
      </c>
      <c r="F64" s="148">
        <f t="shared" ca="1" si="28"/>
        <v>14.699903289787954</v>
      </c>
      <c r="G64" s="148">
        <f t="shared" ca="1" si="28"/>
        <v>14.644991377333637</v>
      </c>
      <c r="H64" s="148">
        <f t="shared" ca="1" si="28"/>
        <v>14.501796532362885</v>
      </c>
      <c r="I64" s="148">
        <f t="shared" ca="1" si="28"/>
        <v>0</v>
      </c>
      <c r="J64" s="148">
        <f t="shared" ca="1" si="28"/>
        <v>0</v>
      </c>
      <c r="K64" s="148">
        <f t="shared" ca="1" si="28"/>
        <v>0</v>
      </c>
      <c r="L64" s="148">
        <f t="shared" ca="1" si="28"/>
        <v>0</v>
      </c>
      <c r="M64" s="148">
        <f t="shared" ca="1" si="28"/>
        <v>0</v>
      </c>
      <c r="N64" s="148">
        <f t="shared" ca="1" si="28"/>
        <v>0</v>
      </c>
      <c r="O64" s="148">
        <f t="shared" ca="1" si="28"/>
        <v>0</v>
      </c>
      <c r="P64" s="148">
        <f t="shared" ca="1" si="28"/>
        <v>0</v>
      </c>
      <c r="Q64" s="149"/>
      <c r="R64" s="149"/>
      <c r="S64" s="149"/>
      <c r="T64" s="149"/>
      <c r="U64" s="149"/>
      <c r="V64" s="149"/>
    </row>
    <row r="65" spans="1:22" x14ac:dyDescent="0.25">
      <c r="A65" s="147"/>
      <c r="B65" s="153" t="s">
        <v>136</v>
      </c>
      <c r="C65" s="150">
        <f t="shared" ref="C65:P65" ca="1" si="29">-C54</f>
        <v>2.4</v>
      </c>
      <c r="D65" s="150">
        <f t="shared" ca="1" si="29"/>
        <v>2.52</v>
      </c>
      <c r="E65" s="150">
        <f t="shared" ca="1" si="29"/>
        <v>2.6460000000000004</v>
      </c>
      <c r="F65" s="150">
        <f t="shared" ca="1" si="29"/>
        <v>2.7783000000000007</v>
      </c>
      <c r="G65" s="150">
        <f t="shared" ca="1" si="29"/>
        <v>2.8894320000000007</v>
      </c>
      <c r="H65" s="150">
        <f t="shared" ca="1" si="29"/>
        <v>2.9761149600000012</v>
      </c>
      <c r="I65" s="150">
        <f t="shared" ca="1" si="29"/>
        <v>0</v>
      </c>
      <c r="J65" s="150">
        <f t="shared" ca="1" si="29"/>
        <v>0</v>
      </c>
      <c r="K65" s="150">
        <f t="shared" ca="1" si="29"/>
        <v>0</v>
      </c>
      <c r="L65" s="150">
        <f t="shared" ca="1" si="29"/>
        <v>0</v>
      </c>
      <c r="M65" s="150">
        <f t="shared" ca="1" si="29"/>
        <v>0</v>
      </c>
      <c r="N65" s="150">
        <f t="shared" ca="1" si="29"/>
        <v>0</v>
      </c>
      <c r="O65" s="150">
        <f t="shared" ca="1" si="29"/>
        <v>0</v>
      </c>
      <c r="P65" s="150">
        <f t="shared" ca="1" si="29"/>
        <v>0</v>
      </c>
      <c r="Q65" s="149"/>
      <c r="R65" s="149"/>
      <c r="S65" s="149"/>
      <c r="T65" s="149"/>
      <c r="U65" s="149"/>
      <c r="V65" s="149"/>
    </row>
    <row r="66" spans="1:22" x14ac:dyDescent="0.25">
      <c r="A66" s="147"/>
      <c r="B66" s="60" t="s">
        <v>7</v>
      </c>
      <c r="C66" s="148">
        <f t="shared" ref="C66:P66" ca="1" si="30">C65+C64</f>
        <v>15.678533720600187</v>
      </c>
      <c r="D66" s="148">
        <f t="shared" ca="1" si="30"/>
        <v>16.4624604066302</v>
      </c>
      <c r="E66" s="148">
        <f t="shared" ca="1" si="30"/>
        <v>17.285583426961711</v>
      </c>
      <c r="F66" s="148">
        <f t="shared" ca="1" si="30"/>
        <v>17.478203289787956</v>
      </c>
      <c r="G66" s="148">
        <f t="shared" ca="1" si="30"/>
        <v>17.534423377333638</v>
      </c>
      <c r="H66" s="148">
        <f t="shared" ca="1" si="30"/>
        <v>17.477911492362885</v>
      </c>
      <c r="I66" s="148">
        <f t="shared" ca="1" si="30"/>
        <v>0</v>
      </c>
      <c r="J66" s="148">
        <f t="shared" ca="1" si="30"/>
        <v>0</v>
      </c>
      <c r="K66" s="148">
        <f t="shared" ca="1" si="30"/>
        <v>0</v>
      </c>
      <c r="L66" s="148">
        <f t="shared" ca="1" si="30"/>
        <v>0</v>
      </c>
      <c r="M66" s="148">
        <f t="shared" ca="1" si="30"/>
        <v>0</v>
      </c>
      <c r="N66" s="148">
        <f t="shared" ca="1" si="30"/>
        <v>0</v>
      </c>
      <c r="O66" s="148">
        <f t="shared" ca="1" si="30"/>
        <v>0</v>
      </c>
      <c r="P66" s="148">
        <f t="shared" ca="1" si="30"/>
        <v>0</v>
      </c>
      <c r="Q66" s="149"/>
      <c r="R66" s="149"/>
      <c r="S66" s="149"/>
      <c r="T66" s="149"/>
      <c r="U66" s="149"/>
      <c r="V66" s="149"/>
    </row>
    <row r="67" spans="1:22" x14ac:dyDescent="0.25">
      <c r="A67" s="147"/>
      <c r="B67" s="60"/>
      <c r="C67" s="150"/>
      <c r="D67" s="150"/>
      <c r="E67" s="150"/>
      <c r="F67" s="150"/>
      <c r="G67" s="150"/>
      <c r="H67" s="150"/>
      <c r="I67" s="150"/>
      <c r="J67" s="150"/>
      <c r="K67" s="150"/>
      <c r="L67" s="150"/>
      <c r="M67" s="150"/>
      <c r="N67" s="150"/>
      <c r="O67" s="150"/>
      <c r="P67" s="150"/>
      <c r="Q67" s="150"/>
      <c r="R67" s="150"/>
      <c r="S67" s="150"/>
      <c r="T67" s="150"/>
      <c r="U67" s="150"/>
      <c r="V67" s="150"/>
    </row>
    <row r="68" spans="1:22" ht="13" x14ac:dyDescent="0.3">
      <c r="A68" s="147"/>
      <c r="B68" s="155" t="s">
        <v>8</v>
      </c>
      <c r="C68" s="150"/>
      <c r="D68" s="150"/>
      <c r="E68" s="150"/>
      <c r="F68" s="150"/>
      <c r="G68" s="150"/>
      <c r="H68" s="150"/>
      <c r="I68" s="150"/>
      <c r="J68" s="150"/>
      <c r="K68" s="150"/>
      <c r="L68" s="150"/>
      <c r="M68" s="150"/>
      <c r="N68" s="150"/>
      <c r="O68" s="150"/>
      <c r="P68" s="150"/>
      <c r="Q68" s="150"/>
      <c r="R68" s="150"/>
      <c r="S68" s="150"/>
      <c r="T68" s="150"/>
      <c r="U68" s="150"/>
      <c r="V68" s="150"/>
    </row>
    <row r="69" spans="1:22" x14ac:dyDescent="0.25">
      <c r="A69" s="147" t="s">
        <v>60</v>
      </c>
      <c r="B69" s="60" t="s">
        <v>9</v>
      </c>
      <c r="C69" s="148">
        <f t="shared" ref="C69:P69" ca="1" si="31">IF(C28=$C$26,-C59+C38*C50,(C48*(1+C38)/(D33+1)-C48/(C33+1)-C59))*(C29&lt;3)</f>
        <v>-9.278533720600187</v>
      </c>
      <c r="D69" s="148">
        <f t="shared" ca="1" si="31"/>
        <v>-9.7424604066301974</v>
      </c>
      <c r="E69" s="148">
        <f t="shared" ca="1" si="31"/>
        <v>-1.194461475742191</v>
      </c>
      <c r="F69" s="148">
        <f t="shared" ca="1" si="31"/>
        <v>0.79410989412767208</v>
      </c>
      <c r="G69" s="148">
        <f t="shared" ca="1" si="31"/>
        <v>3.49382621480399</v>
      </c>
      <c r="H69" s="148">
        <f t="shared" ca="1" si="31"/>
        <v>-11.79623747781743</v>
      </c>
      <c r="I69" s="148">
        <f t="shared" ca="1" si="31"/>
        <v>0</v>
      </c>
      <c r="J69" s="148">
        <f t="shared" ca="1" si="31"/>
        <v>0</v>
      </c>
      <c r="K69" s="148">
        <f t="shared" ca="1" si="31"/>
        <v>0</v>
      </c>
      <c r="L69" s="148">
        <f t="shared" ca="1" si="31"/>
        <v>0</v>
      </c>
      <c r="M69" s="148">
        <f t="shared" ca="1" si="31"/>
        <v>0</v>
      </c>
      <c r="N69" s="148">
        <f t="shared" ca="1" si="31"/>
        <v>0</v>
      </c>
      <c r="O69" s="148">
        <f t="shared" ca="1" si="31"/>
        <v>0</v>
      </c>
      <c r="P69" s="148">
        <f t="shared" ca="1" si="31"/>
        <v>0</v>
      </c>
      <c r="Q69" s="149"/>
      <c r="R69" s="149"/>
      <c r="S69" s="149"/>
      <c r="T69" s="149"/>
      <c r="U69" s="149"/>
      <c r="V69" s="149"/>
    </row>
    <row r="70" spans="1:22" x14ac:dyDescent="0.25">
      <c r="A70" s="147" t="s">
        <v>61</v>
      </c>
      <c r="B70" s="153" t="s">
        <v>1</v>
      </c>
      <c r="C70" s="150">
        <f t="shared" ref="C70:P70" ca="1" si="32">IF(C28=$C$26,C49*C38,D33/(D33+1)*C48*(1+C38)-C33*C48/(C33+1))*(C29&lt;3)</f>
        <v>2</v>
      </c>
      <c r="D70" s="150">
        <f t="shared" ca="1" si="32"/>
        <v>2.1000000000000014</v>
      </c>
      <c r="E70" s="150">
        <f t="shared" ca="1" si="32"/>
        <v>-6.8301219512195104</v>
      </c>
      <c r="F70" s="150">
        <f t="shared" ca="1" si="32"/>
        <v>-9.9374131839156306</v>
      </c>
      <c r="G70" s="150">
        <f t="shared" ca="1" si="32"/>
        <v>-13.8046695921376</v>
      </c>
      <c r="H70" s="150">
        <f t="shared" ca="1" si="32"/>
        <v>0.27055590545454522</v>
      </c>
      <c r="I70" s="150">
        <f t="shared" ca="1" si="32"/>
        <v>0</v>
      </c>
      <c r="J70" s="150">
        <f t="shared" ca="1" si="32"/>
        <v>0</v>
      </c>
      <c r="K70" s="150">
        <f t="shared" ca="1" si="32"/>
        <v>0</v>
      </c>
      <c r="L70" s="150">
        <f t="shared" ca="1" si="32"/>
        <v>0</v>
      </c>
      <c r="M70" s="150">
        <f t="shared" ca="1" si="32"/>
        <v>0</v>
      </c>
      <c r="N70" s="150">
        <f t="shared" ca="1" si="32"/>
        <v>0</v>
      </c>
      <c r="O70" s="150">
        <f t="shared" ca="1" si="32"/>
        <v>0</v>
      </c>
      <c r="P70" s="150">
        <f t="shared" ca="1" si="32"/>
        <v>0</v>
      </c>
      <c r="Q70" s="149"/>
      <c r="R70" s="149"/>
      <c r="S70" s="149"/>
      <c r="T70" s="149"/>
      <c r="U70" s="149"/>
      <c r="V70" s="149"/>
    </row>
    <row r="71" spans="1:22" x14ac:dyDescent="0.25">
      <c r="A71" s="147"/>
      <c r="B71" s="60" t="s">
        <v>8</v>
      </c>
      <c r="C71" s="148">
        <f t="shared" ref="C71:P71" ca="1" si="33">SUM(C69:C70)</f>
        <v>-7.278533720600187</v>
      </c>
      <c r="D71" s="148">
        <f t="shared" ca="1" si="33"/>
        <v>-7.642460406630196</v>
      </c>
      <c r="E71" s="148">
        <f t="shared" ca="1" si="33"/>
        <v>-8.0245834269617013</v>
      </c>
      <c r="F71" s="148">
        <f t="shared" ca="1" si="33"/>
        <v>-9.1433032897879585</v>
      </c>
      <c r="G71" s="148">
        <f t="shared" ca="1" si="33"/>
        <v>-10.31084337733361</v>
      </c>
      <c r="H71" s="148">
        <f t="shared" ca="1" si="33"/>
        <v>-11.525681572362885</v>
      </c>
      <c r="I71" s="148">
        <f t="shared" ca="1" si="33"/>
        <v>0</v>
      </c>
      <c r="J71" s="148">
        <f t="shared" ca="1" si="33"/>
        <v>0</v>
      </c>
      <c r="K71" s="148">
        <f t="shared" ca="1" si="33"/>
        <v>0</v>
      </c>
      <c r="L71" s="148">
        <f t="shared" ca="1" si="33"/>
        <v>0</v>
      </c>
      <c r="M71" s="148">
        <f t="shared" ca="1" si="33"/>
        <v>0</v>
      </c>
      <c r="N71" s="148">
        <f t="shared" ca="1" si="33"/>
        <v>0</v>
      </c>
      <c r="O71" s="148">
        <f t="shared" ca="1" si="33"/>
        <v>0</v>
      </c>
      <c r="P71" s="148">
        <f t="shared" ca="1" si="33"/>
        <v>0</v>
      </c>
      <c r="Q71" s="149"/>
      <c r="R71" s="149"/>
      <c r="S71" s="149"/>
      <c r="T71" s="149"/>
      <c r="U71" s="149"/>
      <c r="V71" s="149"/>
    </row>
    <row r="72" spans="1:22" x14ac:dyDescent="0.25">
      <c r="A72" s="147"/>
      <c r="B72" s="60"/>
      <c r="C72" s="150"/>
      <c r="D72" s="150"/>
      <c r="E72" s="150"/>
      <c r="F72" s="150"/>
      <c r="G72" s="150"/>
      <c r="H72" s="150"/>
      <c r="I72" s="150"/>
      <c r="J72" s="150"/>
      <c r="K72" s="150"/>
      <c r="L72" s="150"/>
      <c r="M72" s="150"/>
      <c r="N72" s="150"/>
      <c r="O72" s="150"/>
      <c r="P72" s="150"/>
      <c r="Q72" s="150"/>
      <c r="R72" s="150"/>
      <c r="S72" s="150"/>
      <c r="T72" s="150"/>
      <c r="U72" s="150"/>
      <c r="V72" s="150"/>
    </row>
    <row r="73" spans="1:22" ht="13" x14ac:dyDescent="0.3">
      <c r="A73" s="147"/>
      <c r="B73" s="155" t="s">
        <v>10</v>
      </c>
      <c r="C73" s="150"/>
      <c r="D73" s="150"/>
      <c r="E73" s="150"/>
      <c r="F73" s="150"/>
      <c r="G73" s="150"/>
      <c r="H73" s="150"/>
      <c r="I73" s="150"/>
      <c r="J73" s="150"/>
      <c r="K73" s="150"/>
      <c r="L73" s="150"/>
      <c r="M73" s="150"/>
      <c r="N73" s="150"/>
      <c r="O73" s="150"/>
      <c r="P73" s="150"/>
      <c r="Q73" s="150"/>
      <c r="R73" s="150"/>
      <c r="S73" s="150"/>
      <c r="T73" s="150"/>
      <c r="U73" s="150"/>
      <c r="V73" s="150"/>
    </row>
    <row r="74" spans="1:22" x14ac:dyDescent="0.25">
      <c r="A74" s="147" t="s">
        <v>135</v>
      </c>
      <c r="B74" s="142" t="s">
        <v>213</v>
      </c>
      <c r="C74" s="148">
        <f t="shared" ref="C74:P74" ca="1" si="34">-C48*C34</f>
        <v>-2.4</v>
      </c>
      <c r="D74" s="148">
        <f t="shared" ca="1" si="34"/>
        <v>-2.52</v>
      </c>
      <c r="E74" s="148">
        <f t="shared" ca="1" si="34"/>
        <v>-2.6460000000000004</v>
      </c>
      <c r="F74" s="148">
        <f t="shared" ca="1" si="34"/>
        <v>-2.7783000000000007</v>
      </c>
      <c r="G74" s="148">
        <f t="shared" ca="1" si="34"/>
        <v>-2.8894320000000007</v>
      </c>
      <c r="H74" s="148">
        <f t="shared" ca="1" si="34"/>
        <v>-2.9761149600000012</v>
      </c>
      <c r="I74" s="148">
        <f t="shared" ca="1" si="34"/>
        <v>0</v>
      </c>
      <c r="J74" s="148">
        <f t="shared" ca="1" si="34"/>
        <v>0</v>
      </c>
      <c r="K74" s="148">
        <f t="shared" ca="1" si="34"/>
        <v>0</v>
      </c>
      <c r="L74" s="148">
        <f t="shared" ca="1" si="34"/>
        <v>0</v>
      </c>
      <c r="M74" s="148">
        <f t="shared" ca="1" si="34"/>
        <v>0</v>
      </c>
      <c r="N74" s="148">
        <f t="shared" ca="1" si="34"/>
        <v>0</v>
      </c>
      <c r="O74" s="148">
        <f t="shared" ca="1" si="34"/>
        <v>0</v>
      </c>
      <c r="P74" s="148">
        <f t="shared" ca="1" si="34"/>
        <v>0</v>
      </c>
      <c r="Q74" s="149"/>
      <c r="R74" s="149"/>
      <c r="S74" s="149"/>
      <c r="T74" s="149"/>
      <c r="U74" s="149"/>
      <c r="V74" s="149"/>
    </row>
    <row r="75" spans="1:22" x14ac:dyDescent="0.25">
      <c r="A75" s="147" t="s">
        <v>134</v>
      </c>
      <c r="B75" s="153" t="s">
        <v>214</v>
      </c>
      <c r="C75" s="150">
        <f t="shared" ref="C75:P75" ca="1" si="35">-C48*C38</f>
        <v>-6</v>
      </c>
      <c r="D75" s="150">
        <f t="shared" ca="1" si="35"/>
        <v>-6.3000000000000007</v>
      </c>
      <c r="E75" s="150">
        <f t="shared" ca="1" si="35"/>
        <v>-6.6150000000000011</v>
      </c>
      <c r="F75" s="150">
        <f t="shared" ca="1" si="35"/>
        <v>-5.5566000000000013</v>
      </c>
      <c r="G75" s="150">
        <f t="shared" ca="1" si="35"/>
        <v>-4.3341480000000008</v>
      </c>
      <c r="H75" s="150">
        <f t="shared" ca="1" si="35"/>
        <v>-2.9761149600000012</v>
      </c>
      <c r="I75" s="150">
        <f t="shared" ca="1" si="35"/>
        <v>0</v>
      </c>
      <c r="J75" s="150">
        <f t="shared" ca="1" si="35"/>
        <v>0</v>
      </c>
      <c r="K75" s="150">
        <f t="shared" ca="1" si="35"/>
        <v>0</v>
      </c>
      <c r="L75" s="150">
        <f t="shared" ca="1" si="35"/>
        <v>0</v>
      </c>
      <c r="M75" s="150">
        <f t="shared" ca="1" si="35"/>
        <v>0</v>
      </c>
      <c r="N75" s="150">
        <f t="shared" ca="1" si="35"/>
        <v>0</v>
      </c>
      <c r="O75" s="150">
        <f t="shared" ca="1" si="35"/>
        <v>0</v>
      </c>
      <c r="P75" s="150">
        <f t="shared" ca="1" si="35"/>
        <v>0</v>
      </c>
      <c r="Q75" s="149"/>
      <c r="R75" s="149"/>
      <c r="S75" s="149"/>
      <c r="T75" s="149"/>
      <c r="U75" s="149"/>
      <c r="V75" s="149"/>
    </row>
    <row r="76" spans="1:22" x14ac:dyDescent="0.25">
      <c r="A76" s="147" t="s">
        <v>62</v>
      </c>
      <c r="B76" s="156" t="s">
        <v>10</v>
      </c>
      <c r="C76" s="148">
        <f t="shared" ref="C76:P76" ca="1" si="36">SUM(C74:C75)</f>
        <v>-8.4</v>
      </c>
      <c r="D76" s="148">
        <f t="shared" ca="1" si="36"/>
        <v>-8.82</v>
      </c>
      <c r="E76" s="148">
        <f t="shared" ca="1" si="36"/>
        <v>-9.261000000000001</v>
      </c>
      <c r="F76" s="148">
        <f t="shared" ca="1" si="36"/>
        <v>-8.3349000000000011</v>
      </c>
      <c r="G76" s="148">
        <f t="shared" ca="1" si="36"/>
        <v>-7.2235800000000019</v>
      </c>
      <c r="H76" s="148">
        <f t="shared" ca="1" si="36"/>
        <v>-5.9522299200000024</v>
      </c>
      <c r="I76" s="148">
        <f t="shared" ca="1" si="36"/>
        <v>0</v>
      </c>
      <c r="J76" s="148">
        <f t="shared" ca="1" si="36"/>
        <v>0</v>
      </c>
      <c r="K76" s="148">
        <f t="shared" ca="1" si="36"/>
        <v>0</v>
      </c>
      <c r="L76" s="148">
        <f t="shared" ca="1" si="36"/>
        <v>0</v>
      </c>
      <c r="M76" s="148">
        <f t="shared" ca="1" si="36"/>
        <v>0</v>
      </c>
      <c r="N76" s="148">
        <f t="shared" ca="1" si="36"/>
        <v>0</v>
      </c>
      <c r="O76" s="148">
        <f t="shared" ca="1" si="36"/>
        <v>0</v>
      </c>
      <c r="P76" s="148">
        <f t="shared" ca="1" si="36"/>
        <v>0</v>
      </c>
      <c r="Q76" s="149"/>
      <c r="R76" s="149"/>
      <c r="S76" s="149"/>
      <c r="T76" s="149"/>
      <c r="U76" s="149"/>
      <c r="V76" s="149"/>
    </row>
    <row r="77" spans="1:22" x14ac:dyDescent="0.25">
      <c r="A77" s="147"/>
      <c r="B77" s="153"/>
      <c r="C77" s="149"/>
      <c r="D77" s="149"/>
      <c r="E77" s="149"/>
      <c r="F77" s="149"/>
      <c r="G77" s="149"/>
      <c r="H77" s="149"/>
      <c r="I77" s="149"/>
      <c r="J77" s="149"/>
      <c r="K77" s="149"/>
      <c r="L77" s="149"/>
      <c r="M77" s="149"/>
      <c r="N77" s="149"/>
      <c r="O77" s="149"/>
      <c r="P77" s="149"/>
      <c r="Q77" s="149"/>
      <c r="R77" s="149"/>
      <c r="S77" s="149"/>
      <c r="T77" s="149"/>
      <c r="U77" s="149"/>
      <c r="V77" s="149"/>
    </row>
    <row r="78" spans="1:22" x14ac:dyDescent="0.25">
      <c r="B78" s="60" t="s">
        <v>11</v>
      </c>
      <c r="C78" s="148">
        <f t="shared" ref="C78:P78" ca="1" si="37">C66+C71+C76</f>
        <v>0</v>
      </c>
      <c r="D78" s="148">
        <f t="shared" ca="1" si="37"/>
        <v>0</v>
      </c>
      <c r="E78" s="148">
        <f t="shared" ca="1" si="37"/>
        <v>0</v>
      </c>
      <c r="F78" s="148">
        <f t="shared" ca="1" si="37"/>
        <v>0</v>
      </c>
      <c r="G78" s="148">
        <f t="shared" ca="1" si="37"/>
        <v>2.6645352591003757E-14</v>
      </c>
      <c r="H78" s="148">
        <f t="shared" ca="1" si="37"/>
        <v>0</v>
      </c>
      <c r="I78" s="148">
        <f t="shared" ca="1" si="37"/>
        <v>0</v>
      </c>
      <c r="J78" s="148">
        <f t="shared" ca="1" si="37"/>
        <v>0</v>
      </c>
      <c r="K78" s="148">
        <f t="shared" ca="1" si="37"/>
        <v>0</v>
      </c>
      <c r="L78" s="148">
        <f t="shared" ca="1" si="37"/>
        <v>0</v>
      </c>
      <c r="M78" s="148">
        <f t="shared" ca="1" si="37"/>
        <v>0</v>
      </c>
      <c r="N78" s="148">
        <f t="shared" ca="1" si="37"/>
        <v>0</v>
      </c>
      <c r="O78" s="148">
        <f t="shared" ca="1" si="37"/>
        <v>0</v>
      </c>
      <c r="P78" s="148">
        <f t="shared" ca="1" si="37"/>
        <v>0</v>
      </c>
      <c r="Q78" s="149"/>
      <c r="R78" s="149"/>
      <c r="S78" s="149"/>
      <c r="T78" s="149"/>
      <c r="U78" s="149"/>
      <c r="V78" s="149"/>
    </row>
    <row r="79" spans="1:22" x14ac:dyDescent="0.25">
      <c r="A79" s="147"/>
      <c r="B79" s="60"/>
      <c r="C79" s="141"/>
      <c r="D79" s="60"/>
      <c r="E79" s="60"/>
      <c r="F79" s="60"/>
      <c r="G79" s="60"/>
      <c r="H79" s="60"/>
      <c r="I79" s="60"/>
      <c r="J79" s="60"/>
      <c r="K79" s="60"/>
      <c r="L79" s="60"/>
      <c r="M79" s="60"/>
      <c r="N79" s="60"/>
      <c r="O79" s="60"/>
      <c r="P79" s="60"/>
      <c r="Q79" s="60"/>
      <c r="R79" s="60"/>
      <c r="S79" s="60"/>
      <c r="T79" s="60"/>
      <c r="U79" s="60"/>
      <c r="V79" s="60"/>
    </row>
    <row r="80" spans="1:22" ht="13" x14ac:dyDescent="0.3">
      <c r="A80" s="147"/>
      <c r="B80" s="60"/>
      <c r="C80" s="145">
        <f>C$46</f>
        <v>2020</v>
      </c>
      <c r="D80" s="145">
        <f t="shared" ref="D80:P80" si="38">D$46</f>
        <v>2021</v>
      </c>
      <c r="E80" s="145">
        <f t="shared" si="38"/>
        <v>2022</v>
      </c>
      <c r="F80" s="145">
        <f t="shared" si="38"/>
        <v>2023</v>
      </c>
      <c r="G80" s="145">
        <f t="shared" si="38"/>
        <v>2024</v>
      </c>
      <c r="H80" s="145">
        <f t="shared" si="38"/>
        <v>2025</v>
      </c>
      <c r="I80" s="145">
        <f t="shared" si="38"/>
        <v>0</v>
      </c>
      <c r="J80" s="145">
        <f t="shared" si="38"/>
        <v>0</v>
      </c>
      <c r="K80" s="145">
        <f t="shared" si="38"/>
        <v>0</v>
      </c>
      <c r="L80" s="145">
        <f t="shared" si="38"/>
        <v>0</v>
      </c>
      <c r="M80" s="145">
        <f t="shared" si="38"/>
        <v>0</v>
      </c>
      <c r="N80" s="145">
        <f t="shared" si="38"/>
        <v>0</v>
      </c>
      <c r="O80" s="145">
        <f t="shared" si="38"/>
        <v>0</v>
      </c>
      <c r="P80" s="145">
        <f t="shared" si="38"/>
        <v>0</v>
      </c>
      <c r="Q80" s="60"/>
      <c r="R80" s="60"/>
      <c r="S80" s="60"/>
      <c r="T80" s="60"/>
      <c r="U80" s="60"/>
      <c r="V80" s="60"/>
    </row>
    <row r="81" spans="1:22" ht="13" x14ac:dyDescent="0.3">
      <c r="A81" s="147"/>
      <c r="B81" s="146" t="s">
        <v>221</v>
      </c>
      <c r="C81" s="141"/>
      <c r="D81" s="60"/>
      <c r="E81" s="60"/>
      <c r="F81" s="60"/>
      <c r="G81" s="60"/>
      <c r="H81" s="60"/>
      <c r="I81" s="60"/>
      <c r="J81" s="60"/>
      <c r="K81" s="60"/>
      <c r="L81" s="60"/>
      <c r="M81" s="60"/>
      <c r="N81" s="60"/>
      <c r="O81" s="60"/>
      <c r="P81" s="60"/>
      <c r="Q81" s="60"/>
      <c r="R81" s="60"/>
      <c r="S81" s="60"/>
      <c r="T81" s="60"/>
      <c r="U81" s="60"/>
      <c r="V81" s="60"/>
    </row>
    <row r="82" spans="1:22" x14ac:dyDescent="0.25">
      <c r="A82" s="147"/>
      <c r="B82" s="60" t="s">
        <v>222</v>
      </c>
      <c r="C82" s="148">
        <f ca="1">C50*(C29&lt;3)</f>
        <v>80</v>
      </c>
      <c r="D82" s="148">
        <f t="shared" ref="D82:P82" ca="1" si="39">C84*(D29&lt;3)</f>
        <v>84</v>
      </c>
      <c r="E82" s="148">
        <f t="shared" ca="1" si="39"/>
        <v>88.2</v>
      </c>
      <c r="F82" s="148">
        <f t="shared" ca="1" si="39"/>
        <v>101.64512195121952</v>
      </c>
      <c r="G82" s="148">
        <f t="shared" ca="1" si="39"/>
        <v>117.13913513513515</v>
      </c>
      <c r="H82" s="148">
        <f t="shared" ca="1" si="39"/>
        <v>135.27795272727278</v>
      </c>
      <c r="I82" s="148">
        <f t="shared" ca="1" si="39"/>
        <v>0</v>
      </c>
      <c r="J82" s="148">
        <f t="shared" ca="1" si="39"/>
        <v>0</v>
      </c>
      <c r="K82" s="148">
        <f t="shared" ca="1" si="39"/>
        <v>0</v>
      </c>
      <c r="L82" s="148">
        <f t="shared" ca="1" si="39"/>
        <v>0</v>
      </c>
      <c r="M82" s="148">
        <f t="shared" ca="1" si="39"/>
        <v>0</v>
      </c>
      <c r="N82" s="148">
        <f t="shared" ca="1" si="39"/>
        <v>0</v>
      </c>
      <c r="O82" s="148">
        <f t="shared" ca="1" si="39"/>
        <v>0</v>
      </c>
      <c r="P82" s="148">
        <f t="shared" ca="1" si="39"/>
        <v>0</v>
      </c>
      <c r="Q82" s="149"/>
      <c r="R82" s="149"/>
      <c r="S82" s="149"/>
      <c r="T82" s="149"/>
      <c r="U82" s="149"/>
      <c r="V82" s="149"/>
    </row>
    <row r="83" spans="1:22" x14ac:dyDescent="0.25">
      <c r="A83" s="147"/>
      <c r="B83" s="153" t="s">
        <v>223</v>
      </c>
      <c r="C83" s="150">
        <f t="shared" ref="C83:P83" ca="1" si="40">C59+C69</f>
        <v>4</v>
      </c>
      <c r="D83" s="150">
        <f t="shared" ca="1" si="40"/>
        <v>4.2000000000000028</v>
      </c>
      <c r="E83" s="150">
        <f t="shared" ca="1" si="40"/>
        <v>13.445121951219519</v>
      </c>
      <c r="F83" s="150">
        <f t="shared" ca="1" si="40"/>
        <v>15.494013183915627</v>
      </c>
      <c r="G83" s="150">
        <f t="shared" ca="1" si="40"/>
        <v>18.138817592137627</v>
      </c>
      <c r="H83" s="150">
        <f t="shared" ca="1" si="40"/>
        <v>2.7055590545454553</v>
      </c>
      <c r="I83" s="150">
        <f t="shared" ca="1" si="40"/>
        <v>0</v>
      </c>
      <c r="J83" s="150">
        <f t="shared" ca="1" si="40"/>
        <v>0</v>
      </c>
      <c r="K83" s="150">
        <f t="shared" ca="1" si="40"/>
        <v>0</v>
      </c>
      <c r="L83" s="150">
        <f t="shared" ca="1" si="40"/>
        <v>0</v>
      </c>
      <c r="M83" s="150">
        <f t="shared" ca="1" si="40"/>
        <v>0</v>
      </c>
      <c r="N83" s="150">
        <f t="shared" ca="1" si="40"/>
        <v>0</v>
      </c>
      <c r="O83" s="150">
        <f t="shared" ca="1" si="40"/>
        <v>0</v>
      </c>
      <c r="P83" s="150">
        <f t="shared" ca="1" si="40"/>
        <v>0</v>
      </c>
      <c r="Q83" s="157"/>
      <c r="R83" s="157"/>
      <c r="S83" s="157"/>
      <c r="T83" s="157"/>
      <c r="U83" s="157"/>
      <c r="V83" s="157"/>
    </row>
    <row r="84" spans="1:22" x14ac:dyDescent="0.25">
      <c r="A84" s="147"/>
      <c r="B84" s="60" t="s">
        <v>224</v>
      </c>
      <c r="C84" s="148">
        <f t="shared" ref="C84:P84" ca="1" si="41">C82+C83</f>
        <v>84</v>
      </c>
      <c r="D84" s="148">
        <f t="shared" ca="1" si="41"/>
        <v>88.2</v>
      </c>
      <c r="E84" s="148">
        <f t="shared" ca="1" si="41"/>
        <v>101.64512195121952</v>
      </c>
      <c r="F84" s="148">
        <f t="shared" ca="1" si="41"/>
        <v>117.13913513513515</v>
      </c>
      <c r="G84" s="148">
        <f t="shared" ca="1" si="41"/>
        <v>135.27795272727278</v>
      </c>
      <c r="H84" s="148">
        <f t="shared" ca="1" si="41"/>
        <v>137.98351178181824</v>
      </c>
      <c r="I84" s="148">
        <f t="shared" ca="1" si="41"/>
        <v>0</v>
      </c>
      <c r="J84" s="148">
        <f t="shared" ca="1" si="41"/>
        <v>0</v>
      </c>
      <c r="K84" s="148">
        <f t="shared" ca="1" si="41"/>
        <v>0</v>
      </c>
      <c r="L84" s="148">
        <f t="shared" ca="1" si="41"/>
        <v>0</v>
      </c>
      <c r="M84" s="148">
        <f t="shared" ca="1" si="41"/>
        <v>0</v>
      </c>
      <c r="N84" s="148">
        <f t="shared" ca="1" si="41"/>
        <v>0</v>
      </c>
      <c r="O84" s="148">
        <f t="shared" ca="1" si="41"/>
        <v>0</v>
      </c>
      <c r="P84" s="148">
        <f t="shared" ca="1" si="41"/>
        <v>0</v>
      </c>
      <c r="Q84" s="157"/>
      <c r="R84" s="157"/>
      <c r="S84" s="157"/>
      <c r="T84" s="157"/>
      <c r="U84" s="157"/>
      <c r="V84" s="157"/>
    </row>
    <row r="85" spans="1:22" x14ac:dyDescent="0.25">
      <c r="A85" s="147"/>
      <c r="B85" s="60"/>
      <c r="C85" s="141"/>
      <c r="D85" s="60"/>
      <c r="E85" s="60"/>
      <c r="F85" s="60"/>
      <c r="G85" s="60"/>
      <c r="H85" s="60"/>
      <c r="I85" s="60"/>
      <c r="J85" s="60"/>
      <c r="K85" s="60"/>
      <c r="L85" s="60"/>
      <c r="M85" s="60"/>
      <c r="N85" s="60"/>
      <c r="O85" s="60"/>
      <c r="P85" s="60"/>
      <c r="Q85" s="60"/>
      <c r="R85" s="60"/>
      <c r="S85" s="60"/>
      <c r="T85" s="60"/>
      <c r="U85" s="60"/>
      <c r="V85" s="60"/>
    </row>
    <row r="86" spans="1:22" ht="13" x14ac:dyDescent="0.3">
      <c r="A86" s="147"/>
      <c r="B86" s="146" t="s">
        <v>13</v>
      </c>
      <c r="C86" s="141"/>
      <c r="D86" s="60"/>
      <c r="E86" s="60"/>
      <c r="F86" s="60"/>
      <c r="G86" s="60"/>
      <c r="H86" s="60"/>
      <c r="I86" s="60"/>
      <c r="J86" s="60"/>
      <c r="K86" s="60"/>
      <c r="L86" s="60"/>
      <c r="M86" s="60"/>
      <c r="N86" s="60"/>
      <c r="O86" s="60"/>
      <c r="P86" s="60"/>
      <c r="Q86" s="60"/>
      <c r="R86" s="60"/>
      <c r="S86" s="60"/>
      <c r="T86" s="60"/>
      <c r="U86" s="60"/>
      <c r="V86" s="60"/>
    </row>
    <row r="87" spans="1:22" x14ac:dyDescent="0.25">
      <c r="A87" s="147" t="s">
        <v>63</v>
      </c>
      <c r="B87" s="60" t="s">
        <v>87</v>
      </c>
      <c r="C87" s="148">
        <f t="shared" ref="C87:P87" ca="1" si="42">(C55+C56)*(1-C35)-C54+C74+C75+C70</f>
        <v>9.278533720600187</v>
      </c>
      <c r="D87" s="148">
        <f t="shared" ca="1" si="42"/>
        <v>9.742460406630201</v>
      </c>
      <c r="E87" s="148">
        <f t="shared" ca="1" si="42"/>
        <v>1.1944614757421981</v>
      </c>
      <c r="F87" s="148">
        <f t="shared" ca="1" si="42"/>
        <v>-0.79410989412767741</v>
      </c>
      <c r="G87" s="148">
        <f t="shared" ca="1" si="42"/>
        <v>-3.4938262148039669</v>
      </c>
      <c r="H87" s="148">
        <f t="shared" ca="1" si="42"/>
        <v>11.79623747781743</v>
      </c>
      <c r="I87" s="148">
        <f t="shared" ca="1" si="42"/>
        <v>0</v>
      </c>
      <c r="J87" s="148">
        <f t="shared" ca="1" si="42"/>
        <v>0</v>
      </c>
      <c r="K87" s="148">
        <f t="shared" ca="1" si="42"/>
        <v>0</v>
      </c>
      <c r="L87" s="148">
        <f t="shared" ca="1" si="42"/>
        <v>0</v>
      </c>
      <c r="M87" s="148">
        <f t="shared" ca="1" si="42"/>
        <v>0</v>
      </c>
      <c r="N87" s="148">
        <f t="shared" ca="1" si="42"/>
        <v>0</v>
      </c>
      <c r="O87" s="148">
        <f t="shared" ca="1" si="42"/>
        <v>0</v>
      </c>
      <c r="P87" s="148">
        <f t="shared" ca="1" si="42"/>
        <v>0</v>
      </c>
      <c r="Q87" s="158"/>
      <c r="R87" s="158"/>
      <c r="S87" s="158"/>
      <c r="T87" s="158"/>
      <c r="U87" s="158"/>
      <c r="V87" s="158"/>
    </row>
    <row r="88" spans="1:22" x14ac:dyDescent="0.25">
      <c r="A88" s="147" t="s">
        <v>64</v>
      </c>
      <c r="B88" s="153" t="s">
        <v>88</v>
      </c>
      <c r="C88" s="150">
        <f t="shared" ref="C88:P88" ca="1" si="43">-C70-(1-C35)*C56</f>
        <v>-0.87853372060018975</v>
      </c>
      <c r="D88" s="150">
        <f t="shared" ca="1" si="43"/>
        <v>-0.92246040663020068</v>
      </c>
      <c r="E88" s="150">
        <f t="shared" ca="1" si="43"/>
        <v>8.0665385242578012</v>
      </c>
      <c r="F88" s="150">
        <f t="shared" ca="1" si="43"/>
        <v>10.981209894127677</v>
      </c>
      <c r="G88" s="150">
        <f t="shared" ca="1" si="43"/>
        <v>14.569982214803968</v>
      </c>
      <c r="H88" s="150">
        <f t="shared" ca="1" si="43"/>
        <v>0.10822236218257658</v>
      </c>
      <c r="I88" s="150">
        <f t="shared" ca="1" si="43"/>
        <v>0</v>
      </c>
      <c r="J88" s="150">
        <f t="shared" ca="1" si="43"/>
        <v>0</v>
      </c>
      <c r="K88" s="150">
        <f t="shared" ca="1" si="43"/>
        <v>0</v>
      </c>
      <c r="L88" s="150">
        <f t="shared" ca="1" si="43"/>
        <v>0</v>
      </c>
      <c r="M88" s="150">
        <f t="shared" ca="1" si="43"/>
        <v>0</v>
      </c>
      <c r="N88" s="150">
        <f t="shared" ca="1" si="43"/>
        <v>0</v>
      </c>
      <c r="O88" s="150">
        <f t="shared" ca="1" si="43"/>
        <v>0</v>
      </c>
      <c r="P88" s="150">
        <f t="shared" ca="1" si="43"/>
        <v>0</v>
      </c>
      <c r="Q88" s="149"/>
      <c r="R88" s="149"/>
      <c r="S88" s="149"/>
      <c r="T88" s="149"/>
      <c r="U88" s="149"/>
      <c r="V88" s="149"/>
    </row>
    <row r="89" spans="1:22" x14ac:dyDescent="0.25">
      <c r="A89" s="147" t="s">
        <v>65</v>
      </c>
      <c r="B89" s="60" t="s">
        <v>89</v>
      </c>
      <c r="C89" s="148">
        <f t="shared" ref="C89:P89" ca="1" si="44">SUM(C87:C88)</f>
        <v>8.3999999999999968</v>
      </c>
      <c r="D89" s="148">
        <f t="shared" ca="1" si="44"/>
        <v>8.82</v>
      </c>
      <c r="E89" s="148">
        <f t="shared" ca="1" si="44"/>
        <v>9.2609999999999992</v>
      </c>
      <c r="F89" s="148">
        <f t="shared" ca="1" si="44"/>
        <v>10.187099999999999</v>
      </c>
      <c r="G89" s="148">
        <f t="shared" ca="1" si="44"/>
        <v>11.076156000000001</v>
      </c>
      <c r="H89" s="148">
        <f t="shared" ca="1" si="44"/>
        <v>11.904459840000007</v>
      </c>
      <c r="I89" s="148">
        <f t="shared" ca="1" si="44"/>
        <v>0</v>
      </c>
      <c r="J89" s="148">
        <f t="shared" ca="1" si="44"/>
        <v>0</v>
      </c>
      <c r="K89" s="148">
        <f t="shared" ca="1" si="44"/>
        <v>0</v>
      </c>
      <c r="L89" s="148">
        <f t="shared" ca="1" si="44"/>
        <v>0</v>
      </c>
      <c r="M89" s="148">
        <f t="shared" ca="1" si="44"/>
        <v>0</v>
      </c>
      <c r="N89" s="148">
        <f t="shared" ca="1" si="44"/>
        <v>0</v>
      </c>
      <c r="O89" s="148">
        <f t="shared" ca="1" si="44"/>
        <v>0</v>
      </c>
      <c r="P89" s="148">
        <f t="shared" ca="1" si="44"/>
        <v>0</v>
      </c>
      <c r="Q89" s="158"/>
      <c r="R89" s="158"/>
      <c r="S89" s="158"/>
      <c r="T89" s="158"/>
      <c r="U89" s="158"/>
      <c r="V89" s="158"/>
    </row>
    <row r="90" spans="1:22" x14ac:dyDescent="0.25">
      <c r="A90" s="147"/>
      <c r="B90" s="60"/>
      <c r="C90" s="60"/>
      <c r="D90" s="60"/>
      <c r="E90" s="60"/>
      <c r="F90" s="60"/>
      <c r="G90" s="60"/>
      <c r="H90" s="60"/>
      <c r="I90" s="60"/>
      <c r="J90" s="60"/>
      <c r="K90" s="60"/>
      <c r="L90" s="60"/>
      <c r="M90" s="60"/>
      <c r="N90" s="60"/>
      <c r="O90" s="60"/>
      <c r="P90" s="60"/>
      <c r="Q90" s="60"/>
      <c r="R90" s="60"/>
      <c r="S90" s="60"/>
      <c r="T90" s="60"/>
      <c r="U90" s="60"/>
      <c r="V90" s="60"/>
    </row>
    <row r="91" spans="1:22" ht="13" x14ac:dyDescent="0.3">
      <c r="A91" s="147"/>
      <c r="B91" s="146" t="s">
        <v>18</v>
      </c>
      <c r="C91" s="60"/>
      <c r="D91" s="60"/>
      <c r="E91" s="60"/>
      <c r="F91" s="60"/>
      <c r="G91" s="60"/>
      <c r="H91" s="60"/>
      <c r="I91" s="60"/>
      <c r="J91" s="60"/>
      <c r="K91" s="60"/>
      <c r="L91" s="60"/>
      <c r="M91" s="60"/>
      <c r="N91" s="60"/>
      <c r="O91" s="60"/>
      <c r="P91" s="60"/>
      <c r="Q91" s="60"/>
      <c r="R91" s="60"/>
      <c r="S91" s="60"/>
      <c r="T91" s="60"/>
      <c r="U91" s="60"/>
      <c r="V91" s="60"/>
    </row>
    <row r="92" spans="1:22" x14ac:dyDescent="0.25">
      <c r="A92" s="147" t="s">
        <v>67</v>
      </c>
      <c r="B92" s="142" t="s">
        <v>90</v>
      </c>
      <c r="C92" s="148">
        <f t="shared" ref="C92:P92" ca="1" si="45">IF(C28=($C$26+1),0,IF(C28=$C$26,C87/(C44-C38),(D92+C87)/(1+C44)))</f>
        <v>80.945505980221142</v>
      </c>
      <c r="D92" s="148">
        <f t="shared" ca="1" si="45"/>
        <v>82.529511638045449</v>
      </c>
      <c r="E92" s="148">
        <f t="shared" ca="1" si="45"/>
        <v>83.921757918230455</v>
      </c>
      <c r="F92" s="148">
        <f t="shared" ca="1" si="45"/>
        <v>94.117973240455299</v>
      </c>
      <c r="G92" s="148">
        <f t="shared" ca="1" si="45"/>
        <v>107.0910440905771</v>
      </c>
      <c r="H92" s="148">
        <f t="shared" ca="1" si="45"/>
        <v>123.70417232727277</v>
      </c>
      <c r="I92" s="148">
        <f t="shared" si="45"/>
        <v>0</v>
      </c>
      <c r="J92" s="148">
        <f t="shared" ca="1" si="45"/>
        <v>0</v>
      </c>
      <c r="K92" s="148">
        <f t="shared" ca="1" si="45"/>
        <v>0</v>
      </c>
      <c r="L92" s="148">
        <f t="shared" ca="1" si="45"/>
        <v>0</v>
      </c>
      <c r="M92" s="148">
        <f t="shared" ca="1" si="45"/>
        <v>0</v>
      </c>
      <c r="N92" s="148">
        <f t="shared" ca="1" si="45"/>
        <v>0</v>
      </c>
      <c r="O92" s="148">
        <f t="shared" ca="1" si="45"/>
        <v>0</v>
      </c>
      <c r="P92" s="148">
        <f t="shared" ca="1" si="45"/>
        <v>0</v>
      </c>
      <c r="Q92" s="149"/>
      <c r="R92" s="149"/>
      <c r="S92" s="149"/>
      <c r="T92" s="149"/>
      <c r="U92" s="149"/>
      <c r="V92" s="149"/>
    </row>
    <row r="93" spans="1:22" x14ac:dyDescent="0.25">
      <c r="A93" s="147" t="s">
        <v>210</v>
      </c>
      <c r="B93" s="159" t="s">
        <v>91</v>
      </c>
      <c r="C93" s="150">
        <f t="shared" ref="C93:P93" ca="1" si="46">IF(C28=($C$26+1),0,IF(C28=$C$26,IF(C49=0,0,C88/(C42-C38)),(D93+C88)/(1+C42)))</f>
        <v>39.999999999999993</v>
      </c>
      <c r="D93" s="150">
        <f t="shared" ca="1" si="46"/>
        <v>41.999999999999993</v>
      </c>
      <c r="E93" s="150">
        <f t="shared" ca="1" si="46"/>
        <v>44.099999999999994</v>
      </c>
      <c r="F93" s="150">
        <f t="shared" ca="1" si="46"/>
        <v>37.269878048780484</v>
      </c>
      <c r="G93" s="150">
        <f t="shared" ca="1" si="46"/>
        <v>27.332464864864857</v>
      </c>
      <c r="H93" s="150">
        <f t="shared" ca="1" si="46"/>
        <v>13.527795272727261</v>
      </c>
      <c r="I93" s="150">
        <f t="shared" si="46"/>
        <v>0</v>
      </c>
      <c r="J93" s="150">
        <f t="shared" ca="1" si="46"/>
        <v>0</v>
      </c>
      <c r="K93" s="150">
        <f t="shared" ca="1" si="46"/>
        <v>0</v>
      </c>
      <c r="L93" s="150">
        <f t="shared" ca="1" si="46"/>
        <v>0</v>
      </c>
      <c r="M93" s="150">
        <f t="shared" ca="1" si="46"/>
        <v>0</v>
      </c>
      <c r="N93" s="150">
        <f t="shared" ca="1" si="46"/>
        <v>0</v>
      </c>
      <c r="O93" s="150">
        <f t="shared" ca="1" si="46"/>
        <v>0</v>
      </c>
      <c r="P93" s="150">
        <f t="shared" ca="1" si="46"/>
        <v>0</v>
      </c>
      <c r="Q93" s="149"/>
      <c r="R93" s="149"/>
      <c r="S93" s="149"/>
      <c r="T93" s="149"/>
      <c r="U93" s="149"/>
      <c r="V93" s="149"/>
    </row>
    <row r="94" spans="1:22" x14ac:dyDescent="0.25">
      <c r="A94" s="147" t="s">
        <v>69</v>
      </c>
      <c r="B94" s="160" t="s">
        <v>92</v>
      </c>
      <c r="C94" s="148">
        <f t="shared" ref="C94:P94" ca="1" si="47">C92+C93</f>
        <v>120.94550598022113</v>
      </c>
      <c r="D94" s="148">
        <f t="shared" ca="1" si="47"/>
        <v>124.52951163804545</v>
      </c>
      <c r="E94" s="148">
        <f t="shared" ca="1" si="47"/>
        <v>128.02175791823043</v>
      </c>
      <c r="F94" s="148">
        <f t="shared" ca="1" si="47"/>
        <v>131.38785128923578</v>
      </c>
      <c r="G94" s="148">
        <f t="shared" ca="1" si="47"/>
        <v>134.42350895544195</v>
      </c>
      <c r="H94" s="148">
        <f t="shared" ca="1" si="47"/>
        <v>137.23196760000002</v>
      </c>
      <c r="I94" s="148">
        <f t="shared" si="47"/>
        <v>0</v>
      </c>
      <c r="J94" s="148">
        <f t="shared" ca="1" si="47"/>
        <v>0</v>
      </c>
      <c r="K94" s="148">
        <f t="shared" ca="1" si="47"/>
        <v>0</v>
      </c>
      <c r="L94" s="148">
        <f t="shared" ca="1" si="47"/>
        <v>0</v>
      </c>
      <c r="M94" s="148">
        <f t="shared" ca="1" si="47"/>
        <v>0</v>
      </c>
      <c r="N94" s="148">
        <f t="shared" ca="1" si="47"/>
        <v>0</v>
      </c>
      <c r="O94" s="148">
        <f t="shared" ca="1" si="47"/>
        <v>0</v>
      </c>
      <c r="P94" s="148">
        <f t="shared" ca="1" si="47"/>
        <v>0</v>
      </c>
      <c r="Q94" s="149"/>
      <c r="R94" s="149"/>
      <c r="S94" s="149"/>
      <c r="T94" s="149"/>
      <c r="U94" s="149"/>
      <c r="V94" s="149"/>
    </row>
    <row r="95" spans="1:22" x14ac:dyDescent="0.25">
      <c r="A95" s="147"/>
      <c r="B95" s="60"/>
      <c r="C95" s="161"/>
      <c r="D95" s="60"/>
      <c r="E95" s="60"/>
      <c r="F95" s="60"/>
      <c r="G95" s="60"/>
      <c r="H95" s="60"/>
      <c r="I95" s="60"/>
      <c r="J95" s="60"/>
      <c r="K95" s="60"/>
      <c r="L95" s="60"/>
      <c r="M95" s="60"/>
      <c r="N95" s="60"/>
      <c r="O95" s="60"/>
      <c r="P95" s="60"/>
      <c r="Q95" s="60"/>
      <c r="R95" s="60"/>
      <c r="S95" s="60"/>
      <c r="T95" s="60"/>
      <c r="U95" s="60"/>
      <c r="V95" s="60"/>
    </row>
    <row r="96" spans="1:22" ht="13" x14ac:dyDescent="0.3">
      <c r="A96" s="147"/>
      <c r="B96" s="146" t="s">
        <v>279</v>
      </c>
      <c r="C96" s="161"/>
      <c r="D96" s="60"/>
      <c r="E96" s="60"/>
      <c r="F96" s="60"/>
      <c r="G96" s="60"/>
      <c r="H96" s="60"/>
      <c r="I96" s="60"/>
      <c r="J96" s="60"/>
      <c r="K96" s="60"/>
      <c r="L96" s="60"/>
      <c r="M96" s="60"/>
      <c r="N96" s="60"/>
      <c r="O96" s="60"/>
      <c r="P96" s="60"/>
      <c r="Q96" s="60"/>
      <c r="R96" s="60"/>
      <c r="S96" s="60"/>
      <c r="T96" s="60"/>
      <c r="U96" s="60"/>
      <c r="V96" s="60"/>
    </row>
    <row r="97" spans="1:22" x14ac:dyDescent="0.25">
      <c r="A97" s="147"/>
      <c r="B97" s="60" t="s">
        <v>280</v>
      </c>
      <c r="C97" s="148">
        <f t="shared" ref="C97:P97" ca="1" si="48">C50</f>
        <v>80</v>
      </c>
      <c r="D97" s="148">
        <f t="shared" ca="1" si="48"/>
        <v>84</v>
      </c>
      <c r="E97" s="148">
        <f t="shared" ca="1" si="48"/>
        <v>88.2</v>
      </c>
      <c r="F97" s="148">
        <f t="shared" ca="1" si="48"/>
        <v>101.64512195121952</v>
      </c>
      <c r="G97" s="148">
        <f t="shared" ca="1" si="48"/>
        <v>117.13913513513515</v>
      </c>
      <c r="H97" s="148">
        <f t="shared" ca="1" si="48"/>
        <v>135.27795272727278</v>
      </c>
      <c r="I97" s="148">
        <f t="shared" ca="1" si="48"/>
        <v>0</v>
      </c>
      <c r="J97" s="148">
        <f t="shared" ca="1" si="48"/>
        <v>0</v>
      </c>
      <c r="K97" s="148">
        <f t="shared" ca="1" si="48"/>
        <v>0</v>
      </c>
      <c r="L97" s="148">
        <f t="shared" ca="1" si="48"/>
        <v>0</v>
      </c>
      <c r="M97" s="148">
        <f t="shared" ca="1" si="48"/>
        <v>0</v>
      </c>
      <c r="N97" s="148">
        <f t="shared" ca="1" si="48"/>
        <v>0</v>
      </c>
      <c r="O97" s="148">
        <f t="shared" ca="1" si="48"/>
        <v>0</v>
      </c>
      <c r="P97" s="148">
        <f t="shared" ca="1" si="48"/>
        <v>0</v>
      </c>
      <c r="Q97" s="60"/>
      <c r="R97" s="60"/>
      <c r="S97" s="60"/>
      <c r="T97" s="60"/>
      <c r="U97" s="60"/>
      <c r="V97" s="60"/>
    </row>
    <row r="98" spans="1:22" x14ac:dyDescent="0.25">
      <c r="A98" s="147"/>
      <c r="B98" s="153" t="s">
        <v>281</v>
      </c>
      <c r="C98" s="150">
        <f t="shared" ref="C98:P98" ca="1" si="49">C49</f>
        <v>40</v>
      </c>
      <c r="D98" s="150">
        <f t="shared" ca="1" si="49"/>
        <v>42</v>
      </c>
      <c r="E98" s="150">
        <f t="shared" ca="1" si="49"/>
        <v>44.1</v>
      </c>
      <c r="F98" s="150">
        <f t="shared" ca="1" si="49"/>
        <v>37.269878048780491</v>
      </c>
      <c r="G98" s="150">
        <f t="shared" ca="1" si="49"/>
        <v>27.33246486486486</v>
      </c>
      <c r="H98" s="150">
        <f t="shared" ca="1" si="49"/>
        <v>13.527795272727261</v>
      </c>
      <c r="I98" s="150">
        <f t="shared" ca="1" si="49"/>
        <v>0</v>
      </c>
      <c r="J98" s="150">
        <f t="shared" ca="1" si="49"/>
        <v>0</v>
      </c>
      <c r="K98" s="150">
        <f t="shared" ca="1" si="49"/>
        <v>0</v>
      </c>
      <c r="L98" s="150">
        <f t="shared" ca="1" si="49"/>
        <v>0</v>
      </c>
      <c r="M98" s="150">
        <f t="shared" ca="1" si="49"/>
        <v>0</v>
      </c>
      <c r="N98" s="150">
        <f t="shared" ca="1" si="49"/>
        <v>0</v>
      </c>
      <c r="O98" s="150">
        <f t="shared" ca="1" si="49"/>
        <v>0</v>
      </c>
      <c r="P98" s="150">
        <f t="shared" ca="1" si="49"/>
        <v>0</v>
      </c>
      <c r="Q98" s="60"/>
      <c r="R98" s="60"/>
      <c r="S98" s="60"/>
      <c r="T98" s="60"/>
      <c r="U98" s="60"/>
      <c r="V98" s="60"/>
    </row>
    <row r="99" spans="1:22" x14ac:dyDescent="0.25">
      <c r="A99" s="147"/>
      <c r="B99" s="60" t="s">
        <v>282</v>
      </c>
      <c r="C99" s="148">
        <f t="shared" ref="C99:P99" si="50">C48</f>
        <v>120</v>
      </c>
      <c r="D99" s="148">
        <f t="shared" ca="1" si="50"/>
        <v>126</v>
      </c>
      <c r="E99" s="148">
        <f t="shared" ca="1" si="50"/>
        <v>132.30000000000001</v>
      </c>
      <c r="F99" s="148">
        <f t="shared" ca="1" si="50"/>
        <v>138.91500000000002</v>
      </c>
      <c r="G99" s="148">
        <f t="shared" ca="1" si="50"/>
        <v>144.47160000000002</v>
      </c>
      <c r="H99" s="148">
        <f t="shared" ca="1" si="50"/>
        <v>148.80574800000005</v>
      </c>
      <c r="I99" s="148">
        <f t="shared" ca="1" si="50"/>
        <v>0</v>
      </c>
      <c r="J99" s="148">
        <f t="shared" ca="1" si="50"/>
        <v>0</v>
      </c>
      <c r="K99" s="148">
        <f t="shared" ca="1" si="50"/>
        <v>0</v>
      </c>
      <c r="L99" s="148">
        <f t="shared" ca="1" si="50"/>
        <v>0</v>
      </c>
      <c r="M99" s="148">
        <f t="shared" ca="1" si="50"/>
        <v>0</v>
      </c>
      <c r="N99" s="148">
        <f t="shared" ca="1" si="50"/>
        <v>0</v>
      </c>
      <c r="O99" s="148">
        <f t="shared" ca="1" si="50"/>
        <v>0</v>
      </c>
      <c r="P99" s="148">
        <f t="shared" ca="1" si="50"/>
        <v>0</v>
      </c>
      <c r="Q99" s="60"/>
      <c r="R99" s="60"/>
      <c r="S99" s="60"/>
      <c r="T99" s="60"/>
      <c r="U99" s="60"/>
      <c r="V99" s="60"/>
    </row>
    <row r="100" spans="1:22" x14ac:dyDescent="0.25">
      <c r="A100" s="147"/>
      <c r="B100" s="60"/>
      <c r="C100" s="161"/>
      <c r="D100" s="60"/>
      <c r="E100" s="60"/>
      <c r="F100" s="60"/>
      <c r="G100" s="60"/>
      <c r="H100" s="60"/>
      <c r="I100" s="60"/>
      <c r="J100" s="60"/>
      <c r="K100" s="60"/>
      <c r="L100" s="60"/>
      <c r="M100" s="60"/>
      <c r="N100" s="60"/>
      <c r="O100" s="60"/>
      <c r="P100" s="60"/>
      <c r="Q100" s="60"/>
      <c r="R100" s="60"/>
      <c r="S100" s="60"/>
      <c r="T100" s="60"/>
      <c r="U100" s="60"/>
      <c r="V100" s="60"/>
    </row>
    <row r="101" spans="1:22" ht="13" x14ac:dyDescent="0.3">
      <c r="A101" s="147"/>
      <c r="B101" s="60"/>
      <c r="C101" s="145">
        <f>C$46</f>
        <v>2020</v>
      </c>
      <c r="D101" s="145">
        <f t="shared" ref="D101:P101" si="51">D$46</f>
        <v>2021</v>
      </c>
      <c r="E101" s="145">
        <f t="shared" si="51"/>
        <v>2022</v>
      </c>
      <c r="F101" s="145">
        <f t="shared" si="51"/>
        <v>2023</v>
      </c>
      <c r="G101" s="145">
        <f t="shared" si="51"/>
        <v>2024</v>
      </c>
      <c r="H101" s="145">
        <f t="shared" si="51"/>
        <v>2025</v>
      </c>
      <c r="I101" s="145">
        <f t="shared" si="51"/>
        <v>0</v>
      </c>
      <c r="J101" s="145">
        <f t="shared" si="51"/>
        <v>0</v>
      </c>
      <c r="K101" s="145">
        <f t="shared" si="51"/>
        <v>0</v>
      </c>
      <c r="L101" s="145">
        <f t="shared" si="51"/>
        <v>0</v>
      </c>
      <c r="M101" s="145">
        <f t="shared" si="51"/>
        <v>0</v>
      </c>
      <c r="N101" s="145">
        <f t="shared" si="51"/>
        <v>0</v>
      </c>
      <c r="O101" s="145">
        <f t="shared" si="51"/>
        <v>0</v>
      </c>
      <c r="P101" s="145">
        <f t="shared" si="51"/>
        <v>0</v>
      </c>
      <c r="Q101" s="60"/>
      <c r="R101" s="60"/>
      <c r="S101" s="60"/>
      <c r="T101" s="60"/>
      <c r="U101" s="60"/>
      <c r="V101" s="60"/>
    </row>
    <row r="102" spans="1:22" ht="13" x14ac:dyDescent="0.3">
      <c r="B102" s="130" t="s">
        <v>192</v>
      </c>
    </row>
    <row r="103" spans="1:22" x14ac:dyDescent="0.25">
      <c r="A103" s="147" t="s">
        <v>74</v>
      </c>
      <c r="B103" s="144" t="s">
        <v>215</v>
      </c>
      <c r="C103" s="138">
        <f t="shared" ref="C103:P103" ca="1" si="52">C41*(1-C35)</f>
        <v>2.8036656984995256E-2</v>
      </c>
      <c r="D103" s="138">
        <f t="shared" ca="1" si="52"/>
        <v>2.8036656984995256E-2</v>
      </c>
      <c r="E103" s="138">
        <f t="shared" ca="1" si="52"/>
        <v>2.8036656984995256E-2</v>
      </c>
      <c r="F103" s="138">
        <f t="shared" ca="1" si="52"/>
        <v>2.8006442866431665E-2</v>
      </c>
      <c r="G103" s="138">
        <f t="shared" ca="1" si="52"/>
        <v>2.8000131947490663E-2</v>
      </c>
      <c r="H103" s="138">
        <f t="shared" ca="1" si="52"/>
        <v>2.800000000005607E-2</v>
      </c>
      <c r="I103" s="138">
        <f t="shared" ca="1" si="52"/>
        <v>0</v>
      </c>
      <c r="J103" s="138">
        <f t="shared" ca="1" si="52"/>
        <v>0</v>
      </c>
      <c r="K103" s="138">
        <f t="shared" ca="1" si="52"/>
        <v>0</v>
      </c>
      <c r="L103" s="138">
        <f t="shared" ca="1" si="52"/>
        <v>0</v>
      </c>
      <c r="M103" s="138">
        <f t="shared" ca="1" si="52"/>
        <v>0</v>
      </c>
      <c r="N103" s="138">
        <f t="shared" ca="1" si="52"/>
        <v>0</v>
      </c>
      <c r="O103" s="138">
        <f t="shared" ca="1" si="52"/>
        <v>0</v>
      </c>
      <c r="P103" s="138">
        <f t="shared" ca="1" si="52"/>
        <v>0</v>
      </c>
      <c r="Q103" s="162"/>
      <c r="R103" s="162"/>
      <c r="S103" s="162"/>
      <c r="T103" s="162"/>
      <c r="U103" s="162"/>
      <c r="V103" s="162"/>
    </row>
    <row r="104" spans="1:22" x14ac:dyDescent="0.25">
      <c r="A104" s="147" t="s">
        <v>72</v>
      </c>
      <c r="B104" s="60" t="s">
        <v>225</v>
      </c>
      <c r="C104" s="138">
        <f t="shared" ref="C104:H104" ca="1" si="53">IF((C29&lt;3),C44*C92/(C92+C93)+C41*(1-C35)*C93/(C92+C93),0)</f>
        <v>9.9085993817613502E-2</v>
      </c>
      <c r="D104" s="138">
        <f t="shared" ca="1" si="53"/>
        <v>9.8870108123217296E-2</v>
      </c>
      <c r="E104" s="138">
        <f t="shared" ca="1" si="53"/>
        <v>9.8632401056939711E-2</v>
      </c>
      <c r="F104" s="138">
        <f t="shared" ca="1" si="53"/>
        <v>0.10063911949589424</v>
      </c>
      <c r="G104" s="138">
        <f t="shared" ca="1" si="53"/>
        <v>0.10329007740127123</v>
      </c>
      <c r="H104" s="138">
        <f t="shared" ca="1" si="53"/>
        <v>0.10674698795180726</v>
      </c>
      <c r="I104" s="138">
        <f t="shared" ref="I104:P104" si="54">IF((I29&lt;3),I44*I92/(I92+I93)+I41*(1-I35)*I93/(I92+I93),0)</f>
        <v>0</v>
      </c>
      <c r="J104" s="138">
        <f t="shared" si="54"/>
        <v>0</v>
      </c>
      <c r="K104" s="138">
        <f t="shared" si="54"/>
        <v>0</v>
      </c>
      <c r="L104" s="138">
        <f t="shared" si="54"/>
        <v>0</v>
      </c>
      <c r="M104" s="138">
        <f t="shared" si="54"/>
        <v>0</v>
      </c>
      <c r="N104" s="138">
        <f t="shared" si="54"/>
        <v>0</v>
      </c>
      <c r="O104" s="138">
        <f t="shared" si="54"/>
        <v>0</v>
      </c>
      <c r="P104" s="138">
        <f t="shared" si="54"/>
        <v>0</v>
      </c>
      <c r="Q104" s="162"/>
      <c r="R104" s="162"/>
      <c r="S104" s="162"/>
      <c r="T104" s="162"/>
      <c r="U104" s="162"/>
      <c r="V104" s="162"/>
    </row>
    <row r="105" spans="1:22" x14ac:dyDescent="0.25">
      <c r="A105" s="147" t="s">
        <v>73</v>
      </c>
      <c r="B105" s="60" t="s">
        <v>106</v>
      </c>
      <c r="C105" s="138">
        <f t="shared" ref="C105:H105" ca="1" si="55">IF((C29&lt;3),C59/C50,0)</f>
        <v>0.16598167150750234</v>
      </c>
      <c r="D105" s="138">
        <f t="shared" ca="1" si="55"/>
        <v>0.16598167150750237</v>
      </c>
      <c r="E105" s="138">
        <f t="shared" ca="1" si="55"/>
        <v>0.16598167150750237</v>
      </c>
      <c r="F105" s="138">
        <f t="shared" ca="1" si="55"/>
        <v>0.14461985983786393</v>
      </c>
      <c r="G105" s="138">
        <f t="shared" ca="1" si="55"/>
        <v>0.12502219143447443</v>
      </c>
      <c r="H105" s="138">
        <f t="shared" ca="1" si="55"/>
        <v>0.10719999999999441</v>
      </c>
      <c r="I105" s="138">
        <f t="shared" ref="I105:P105" si="56">IF((I29&lt;3),I59/I50,0)</f>
        <v>0</v>
      </c>
      <c r="J105" s="138">
        <f t="shared" si="56"/>
        <v>0</v>
      </c>
      <c r="K105" s="138">
        <f t="shared" si="56"/>
        <v>0</v>
      </c>
      <c r="L105" s="138">
        <f t="shared" si="56"/>
        <v>0</v>
      </c>
      <c r="M105" s="138">
        <f t="shared" si="56"/>
        <v>0</v>
      </c>
      <c r="N105" s="138">
        <f t="shared" si="56"/>
        <v>0</v>
      </c>
      <c r="O105" s="138">
        <f t="shared" si="56"/>
        <v>0</v>
      </c>
      <c r="P105" s="138">
        <f t="shared" si="56"/>
        <v>0</v>
      </c>
      <c r="Q105" s="162"/>
      <c r="R105" s="162"/>
      <c r="S105" s="162"/>
      <c r="T105" s="162"/>
      <c r="U105" s="162"/>
      <c r="V105" s="162"/>
    </row>
    <row r="106" spans="1:22" x14ac:dyDescent="0.25">
      <c r="A106" s="147"/>
      <c r="B106" s="60"/>
      <c r="C106" s="60"/>
      <c r="D106" s="60"/>
      <c r="E106" s="60"/>
      <c r="F106" s="60"/>
      <c r="G106" s="60"/>
      <c r="H106" s="60"/>
      <c r="I106" s="60"/>
      <c r="J106" s="60"/>
      <c r="K106" s="60"/>
      <c r="L106" s="60"/>
      <c r="M106" s="60"/>
      <c r="N106" s="60"/>
      <c r="O106" s="60"/>
      <c r="P106" s="60"/>
      <c r="Q106" s="60"/>
      <c r="R106" s="60"/>
      <c r="S106" s="60"/>
      <c r="T106" s="60"/>
      <c r="U106" s="60"/>
      <c r="V106" s="60"/>
    </row>
    <row r="107" spans="1:22" ht="13" x14ac:dyDescent="0.3">
      <c r="A107" s="147"/>
      <c r="B107" s="146" t="s">
        <v>238</v>
      </c>
      <c r="C107" s="149"/>
      <c r="D107" s="149"/>
      <c r="E107" s="149"/>
      <c r="F107" s="149"/>
      <c r="G107" s="60"/>
      <c r="H107" s="60"/>
      <c r="I107" s="60"/>
      <c r="J107" s="60"/>
      <c r="K107" s="60"/>
      <c r="L107" s="60"/>
      <c r="M107" s="60"/>
      <c r="N107" s="60"/>
      <c r="O107" s="60"/>
      <c r="P107" s="60"/>
      <c r="Q107" s="60"/>
      <c r="R107" s="60"/>
      <c r="S107" s="60"/>
      <c r="T107" s="60"/>
      <c r="U107" s="60"/>
      <c r="V107" s="60"/>
    </row>
    <row r="108" spans="1:22" s="133" customFormat="1" ht="26" x14ac:dyDescent="0.3">
      <c r="A108" s="163"/>
      <c r="B108" s="164" t="s">
        <v>247</v>
      </c>
      <c r="C108" s="148">
        <f t="shared" ref="C108:H108" ca="1" si="57">IF(C28=$C$26,(C32-C104)/C104,((C32-C104)+D108)/(1+C104))</f>
        <v>2.4187908546397987E-2</v>
      </c>
      <c r="D108" s="148">
        <f t="shared" ca="1" si="57"/>
        <v>5.6705853207008813E-3</v>
      </c>
      <c r="E108" s="148">
        <f t="shared" ca="1" si="57"/>
        <v>-1.4898655172302194E-2</v>
      </c>
      <c r="F108" s="148">
        <f t="shared" ca="1" si="57"/>
        <v>-3.7735744247526036E-2</v>
      </c>
      <c r="G108" s="148">
        <f t="shared" ca="1" si="57"/>
        <v>-5.4227650159558397E-2</v>
      </c>
      <c r="H108" s="148">
        <f t="shared" ca="1" si="57"/>
        <v>-6.3205417607223688E-2</v>
      </c>
      <c r="I108" s="148">
        <f t="shared" ref="I108:P108" si="58">IF(I28=$C$26,(I32-I104)/I104,((I32-I104)+J108)/(1+I104))</f>
        <v>0</v>
      </c>
      <c r="J108" s="148">
        <f t="shared" si="58"/>
        <v>0</v>
      </c>
      <c r="K108" s="148">
        <f t="shared" si="58"/>
        <v>0</v>
      </c>
      <c r="L108" s="148">
        <f t="shared" si="58"/>
        <v>0</v>
      </c>
      <c r="M108" s="148">
        <f t="shared" si="58"/>
        <v>0</v>
      </c>
      <c r="N108" s="148">
        <f t="shared" si="58"/>
        <v>0</v>
      </c>
      <c r="O108" s="148">
        <f t="shared" si="58"/>
        <v>0</v>
      </c>
      <c r="P108" s="148">
        <f t="shared" si="58"/>
        <v>0</v>
      </c>
      <c r="Q108" s="165"/>
      <c r="R108" s="165"/>
      <c r="S108" s="165"/>
      <c r="T108" s="165"/>
      <c r="U108" s="165"/>
      <c r="V108" s="165"/>
    </row>
    <row r="109" spans="1:22" x14ac:dyDescent="0.25">
      <c r="A109" s="147" t="s">
        <v>244</v>
      </c>
      <c r="B109" s="60" t="s">
        <v>239</v>
      </c>
      <c r="C109" s="148">
        <f t="shared" ref="C109:P109" ca="1" si="59">C108*C48</f>
        <v>2.9025490255677586</v>
      </c>
      <c r="D109" s="148">
        <f t="shared" ca="1" si="59"/>
        <v>0.71449375040831109</v>
      </c>
      <c r="E109" s="148">
        <f t="shared" ca="1" si="59"/>
        <v>-1.9710920792955804</v>
      </c>
      <c r="F109" s="148">
        <f t="shared" ca="1" si="59"/>
        <v>-5.2420609121450799</v>
      </c>
      <c r="G109" s="148">
        <f t="shared" ca="1" si="59"/>
        <v>-7.8343553827916583</v>
      </c>
      <c r="H109" s="148">
        <f t="shared" ca="1" si="59"/>
        <v>-9.405329444695294</v>
      </c>
      <c r="I109" s="148">
        <f t="shared" ca="1" si="59"/>
        <v>0</v>
      </c>
      <c r="J109" s="148">
        <f t="shared" ca="1" si="59"/>
        <v>0</v>
      </c>
      <c r="K109" s="148">
        <f t="shared" ca="1" si="59"/>
        <v>0</v>
      </c>
      <c r="L109" s="148">
        <f t="shared" ca="1" si="59"/>
        <v>0</v>
      </c>
      <c r="M109" s="148">
        <f t="shared" ca="1" si="59"/>
        <v>0</v>
      </c>
      <c r="N109" s="148">
        <f t="shared" ca="1" si="59"/>
        <v>0</v>
      </c>
      <c r="O109" s="148">
        <f t="shared" ca="1" si="59"/>
        <v>0</v>
      </c>
      <c r="P109" s="148">
        <f t="shared" ca="1" si="59"/>
        <v>0</v>
      </c>
      <c r="Q109" s="149"/>
      <c r="R109" s="149"/>
      <c r="S109" s="149"/>
      <c r="T109" s="149"/>
      <c r="U109" s="149"/>
      <c r="V109" s="149"/>
    </row>
    <row r="110" spans="1:22" x14ac:dyDescent="0.25">
      <c r="A110" s="147" t="s">
        <v>245</v>
      </c>
      <c r="B110" s="153" t="s">
        <v>240</v>
      </c>
      <c r="C110" s="150">
        <f t="shared" ref="C110:P110" ca="1" si="60">C111-C109</f>
        <v>-1.9570430453467025</v>
      </c>
      <c r="D110" s="150">
        <f t="shared" ca="1" si="60"/>
        <v>-2.1849821123629343</v>
      </c>
      <c r="E110" s="150">
        <f t="shared" ca="1" si="60"/>
        <v>-2.3071500024740494</v>
      </c>
      <c r="F110" s="150">
        <f t="shared" ca="1" si="60"/>
        <v>-2.2850877986192053</v>
      </c>
      <c r="G110" s="150">
        <f t="shared" ca="1" si="60"/>
        <v>-2.2137356617664512</v>
      </c>
      <c r="H110" s="150">
        <f t="shared" ca="1" si="60"/>
        <v>-2.1684509553047473</v>
      </c>
      <c r="I110" s="150">
        <f t="shared" ca="1" si="60"/>
        <v>0</v>
      </c>
      <c r="J110" s="150">
        <f t="shared" ca="1" si="60"/>
        <v>0</v>
      </c>
      <c r="K110" s="150">
        <f t="shared" ca="1" si="60"/>
        <v>0</v>
      </c>
      <c r="L110" s="150">
        <f t="shared" ca="1" si="60"/>
        <v>0</v>
      </c>
      <c r="M110" s="150">
        <f t="shared" ca="1" si="60"/>
        <v>0</v>
      </c>
      <c r="N110" s="150">
        <f t="shared" ca="1" si="60"/>
        <v>0</v>
      </c>
      <c r="O110" s="150">
        <f t="shared" ca="1" si="60"/>
        <v>0</v>
      </c>
      <c r="P110" s="150">
        <f t="shared" ca="1" si="60"/>
        <v>0</v>
      </c>
      <c r="Q110" s="149"/>
      <c r="R110" s="149"/>
      <c r="S110" s="149"/>
      <c r="T110" s="149"/>
      <c r="U110" s="149"/>
      <c r="V110" s="149"/>
    </row>
    <row r="111" spans="1:22" ht="25" x14ac:dyDescent="0.25">
      <c r="A111" s="147" t="s">
        <v>243</v>
      </c>
      <c r="B111" s="166" t="s">
        <v>246</v>
      </c>
      <c r="C111" s="148">
        <f t="shared" ref="C111:P111" ca="1" si="61">IF(C28=$C$26,C48*(C32-C104)/(C104-C38),(C48*(C32-C104)+D111)/(1+C104))</f>
        <v>0.94550598022105614</v>
      </c>
      <c r="D111" s="148">
        <f t="shared" ca="1" si="61"/>
        <v>-1.4704883619546232</v>
      </c>
      <c r="E111" s="148">
        <f t="shared" ca="1" si="61"/>
        <v>-4.2782420817696298</v>
      </c>
      <c r="F111" s="148">
        <f t="shared" ca="1" si="61"/>
        <v>-7.5271487107642852</v>
      </c>
      <c r="G111" s="148">
        <f t="shared" ca="1" si="61"/>
        <v>-10.04809104455811</v>
      </c>
      <c r="H111" s="148">
        <f t="shared" ca="1" si="61"/>
        <v>-11.573780400000041</v>
      </c>
      <c r="I111" s="148">
        <f t="shared" ca="1" si="61"/>
        <v>0</v>
      </c>
      <c r="J111" s="148">
        <f t="shared" ca="1" si="61"/>
        <v>0</v>
      </c>
      <c r="K111" s="148">
        <f t="shared" ca="1" si="61"/>
        <v>0</v>
      </c>
      <c r="L111" s="148">
        <f t="shared" ca="1" si="61"/>
        <v>0</v>
      </c>
      <c r="M111" s="148">
        <f t="shared" ca="1" si="61"/>
        <v>0</v>
      </c>
      <c r="N111" s="148">
        <f t="shared" ca="1" si="61"/>
        <v>0</v>
      </c>
      <c r="O111" s="148">
        <f t="shared" ca="1" si="61"/>
        <v>0</v>
      </c>
      <c r="P111" s="148">
        <f t="shared" ca="1" si="61"/>
        <v>0</v>
      </c>
      <c r="Q111" s="149"/>
      <c r="R111" s="149"/>
      <c r="S111" s="149"/>
      <c r="T111" s="149"/>
      <c r="U111" s="149"/>
      <c r="V111" s="149"/>
    </row>
    <row r="112" spans="1:22" x14ac:dyDescent="0.25">
      <c r="A112" s="147"/>
      <c r="B112" s="60"/>
      <c r="C112" s="60"/>
      <c r="D112" s="60"/>
      <c r="E112" s="60"/>
      <c r="F112" s="60"/>
      <c r="G112" s="60"/>
      <c r="H112" s="60"/>
      <c r="I112" s="60"/>
      <c r="J112" s="60"/>
      <c r="K112" s="60"/>
      <c r="L112" s="60"/>
      <c r="M112" s="60"/>
      <c r="N112" s="60"/>
      <c r="O112" s="60"/>
      <c r="P112" s="60"/>
      <c r="Q112" s="60"/>
      <c r="R112" s="60"/>
      <c r="S112" s="60"/>
      <c r="T112" s="60"/>
      <c r="U112" s="60"/>
      <c r="V112" s="60"/>
    </row>
    <row r="113" spans="1:22" ht="13" x14ac:dyDescent="0.3">
      <c r="A113" s="147"/>
      <c r="B113" s="146" t="s">
        <v>241</v>
      </c>
      <c r="C113" s="60"/>
      <c r="D113" s="60"/>
      <c r="E113" s="60"/>
      <c r="F113" s="60"/>
      <c r="G113" s="60"/>
      <c r="H113" s="60"/>
      <c r="I113" s="60"/>
      <c r="J113" s="60"/>
      <c r="K113" s="60"/>
      <c r="L113" s="60"/>
      <c r="M113" s="60"/>
      <c r="N113" s="60"/>
      <c r="O113" s="60"/>
      <c r="P113" s="60"/>
      <c r="Q113" s="60"/>
      <c r="R113" s="60"/>
      <c r="S113" s="60"/>
      <c r="T113" s="60"/>
      <c r="U113" s="60"/>
      <c r="V113" s="60"/>
    </row>
    <row r="114" spans="1:22" x14ac:dyDescent="0.25">
      <c r="A114" s="147" t="s">
        <v>258</v>
      </c>
      <c r="B114" s="142" t="s">
        <v>242</v>
      </c>
      <c r="C114" s="167" t="str">
        <f t="shared" ref="C114:H114" ca="1" si="62">IF(C29&lt;3,IF(ABS(C111+C48-C94)&lt;epsilon,is_ok,is_error),"")</f>
        <v>ok</v>
      </c>
      <c r="D114" s="167" t="str">
        <f t="shared" ca="1" si="62"/>
        <v>ok</v>
      </c>
      <c r="E114" s="167" t="str">
        <f t="shared" ca="1" si="62"/>
        <v>ok</v>
      </c>
      <c r="F114" s="167" t="str">
        <f t="shared" ca="1" si="62"/>
        <v>ok</v>
      </c>
      <c r="G114" s="167" t="str">
        <f t="shared" ca="1" si="62"/>
        <v>ok</v>
      </c>
      <c r="H114" s="167" t="str">
        <f t="shared" ca="1" si="62"/>
        <v>ok</v>
      </c>
      <c r="I114" s="167" t="str">
        <f t="shared" ref="I114:P114" si="63">IF(I29&lt;3,IF(ABS(I111+I48-I94)&lt;epsilon,is_ok,is_error),"")</f>
        <v/>
      </c>
      <c r="J114" s="167" t="str">
        <f t="shared" si="63"/>
        <v/>
      </c>
      <c r="K114" s="167" t="str">
        <f t="shared" si="63"/>
        <v/>
      </c>
      <c r="L114" s="167" t="str">
        <f t="shared" si="63"/>
        <v/>
      </c>
      <c r="M114" s="167" t="str">
        <f t="shared" si="63"/>
        <v/>
      </c>
      <c r="N114" s="167" t="str">
        <f t="shared" si="63"/>
        <v/>
      </c>
      <c r="O114" s="167" t="str">
        <f t="shared" si="63"/>
        <v/>
      </c>
      <c r="P114" s="167" t="str">
        <f t="shared" si="63"/>
        <v/>
      </c>
      <c r="Q114" s="167"/>
      <c r="R114" s="167"/>
      <c r="S114" s="167"/>
      <c r="T114" s="167"/>
      <c r="U114" s="167"/>
      <c r="V114" s="167"/>
    </row>
    <row r="115" spans="1:22" x14ac:dyDescent="0.25">
      <c r="A115" s="147"/>
      <c r="B115" s="60"/>
      <c r="C115" s="60"/>
      <c r="D115" s="60"/>
      <c r="E115" s="60"/>
      <c r="F115" s="60"/>
      <c r="G115" s="60"/>
      <c r="H115" s="60"/>
      <c r="I115" s="60"/>
      <c r="J115" s="60"/>
      <c r="K115" s="60"/>
      <c r="L115" s="60"/>
      <c r="M115" s="60"/>
      <c r="N115" s="60"/>
      <c r="O115" s="60"/>
      <c r="P115" s="60"/>
      <c r="Q115" s="60"/>
      <c r="R115" s="60"/>
      <c r="S115" s="60"/>
      <c r="T115" s="60"/>
      <c r="U115" s="60"/>
      <c r="V115" s="60"/>
    </row>
    <row r="116" spans="1:22" ht="13" x14ac:dyDescent="0.3">
      <c r="A116" s="147"/>
      <c r="B116" s="146" t="s">
        <v>19</v>
      </c>
      <c r="C116" s="60"/>
      <c r="D116" s="60"/>
      <c r="E116" s="60"/>
      <c r="F116" s="60"/>
      <c r="G116" s="60"/>
      <c r="H116" s="60"/>
      <c r="I116" s="60"/>
      <c r="J116" s="60"/>
      <c r="K116" s="60"/>
      <c r="L116" s="60"/>
      <c r="M116" s="60"/>
      <c r="N116" s="60"/>
      <c r="O116" s="60"/>
      <c r="P116" s="60"/>
      <c r="Q116" s="60"/>
      <c r="R116" s="60"/>
      <c r="S116" s="60"/>
      <c r="T116" s="60"/>
      <c r="U116" s="60"/>
      <c r="V116" s="60"/>
    </row>
    <row r="117" spans="1:22" x14ac:dyDescent="0.25">
      <c r="A117" s="147" t="s">
        <v>66</v>
      </c>
      <c r="B117" s="60" t="s">
        <v>26</v>
      </c>
      <c r="C117" s="168">
        <f t="shared" ref="C117:H117" ca="1" si="64">IF((C29&lt;3),IF(ABS(C56)&lt;0.0001,0,-C53/C56),0)</f>
        <v>14.338371376271555</v>
      </c>
      <c r="D117" s="168">
        <f t="shared" ca="1" si="64"/>
        <v>14.338371376271558</v>
      </c>
      <c r="E117" s="168">
        <f t="shared" ca="1" si="64"/>
        <v>14.33837137627156</v>
      </c>
      <c r="F117" s="168">
        <f t="shared" ca="1" si="64"/>
        <v>16.946317062454234</v>
      </c>
      <c r="G117" s="168">
        <f t="shared" ca="1" si="64"/>
        <v>22.778804221552384</v>
      </c>
      <c r="H117" s="168">
        <f t="shared" ca="1" si="64"/>
        <v>44.785714285624657</v>
      </c>
      <c r="I117" s="168">
        <f t="shared" ref="I117:P117" si="65">IF((I29&lt;3),IF(ABS(I56)&lt;0.0001,0,-I53/I56),0)</f>
        <v>0</v>
      </c>
      <c r="J117" s="168">
        <f t="shared" si="65"/>
        <v>0</v>
      </c>
      <c r="K117" s="168">
        <f t="shared" si="65"/>
        <v>0</v>
      </c>
      <c r="L117" s="168">
        <f t="shared" si="65"/>
        <v>0</v>
      </c>
      <c r="M117" s="168">
        <f t="shared" si="65"/>
        <v>0</v>
      </c>
      <c r="N117" s="168">
        <f t="shared" si="65"/>
        <v>0</v>
      </c>
      <c r="O117" s="168">
        <f t="shared" si="65"/>
        <v>0</v>
      </c>
      <c r="P117" s="168">
        <f t="shared" si="65"/>
        <v>0</v>
      </c>
      <c r="Q117" s="149"/>
      <c r="R117" s="149"/>
      <c r="S117" s="149"/>
      <c r="T117" s="149"/>
      <c r="U117" s="149"/>
      <c r="V117" s="149"/>
    </row>
    <row r="118" spans="1:22" x14ac:dyDescent="0.25">
      <c r="A118" s="147" t="s">
        <v>98</v>
      </c>
      <c r="B118" s="60" t="s">
        <v>181</v>
      </c>
      <c r="C118" s="168">
        <f t="shared" ref="C118:H118" ca="1" si="66">IF((C29&lt;3),C92/C50,0)</f>
        <v>1.0118188247527642</v>
      </c>
      <c r="D118" s="168">
        <f t="shared" ca="1" si="66"/>
        <v>0.98249418616720774</v>
      </c>
      <c r="E118" s="168">
        <f t="shared" ca="1" si="66"/>
        <v>0.95149385394819108</v>
      </c>
      <c r="F118" s="168">
        <f t="shared" ca="1" si="66"/>
        <v>0.92594677869168607</v>
      </c>
      <c r="G118" s="168">
        <f t="shared" ca="1" si="66"/>
        <v>0.91422088755422104</v>
      </c>
      <c r="H118" s="168">
        <f t="shared" ca="1" si="66"/>
        <v>0.91444444444444439</v>
      </c>
      <c r="I118" s="168">
        <f t="shared" ref="I118:P118" si="67">IF((I29&lt;3),I92/I50,0)</f>
        <v>0</v>
      </c>
      <c r="J118" s="168">
        <f t="shared" si="67"/>
        <v>0</v>
      </c>
      <c r="K118" s="168">
        <f t="shared" si="67"/>
        <v>0</v>
      </c>
      <c r="L118" s="168">
        <f t="shared" si="67"/>
        <v>0</v>
      </c>
      <c r="M118" s="168">
        <f t="shared" si="67"/>
        <v>0</v>
      </c>
      <c r="N118" s="168">
        <f t="shared" si="67"/>
        <v>0</v>
      </c>
      <c r="O118" s="168">
        <f t="shared" si="67"/>
        <v>0</v>
      </c>
      <c r="P118" s="168">
        <f t="shared" si="67"/>
        <v>0</v>
      </c>
      <c r="Q118" s="149"/>
      <c r="R118" s="149"/>
      <c r="S118" s="149"/>
      <c r="T118" s="149"/>
      <c r="U118" s="149"/>
      <c r="V118" s="149"/>
    </row>
    <row r="119" spans="1:22" x14ac:dyDescent="0.25">
      <c r="A119" s="147" t="s">
        <v>99</v>
      </c>
      <c r="B119" s="60" t="s">
        <v>182</v>
      </c>
      <c r="C119" s="168">
        <f t="shared" ref="C119:H119" ca="1" si="68">IF((C29&lt;3),C94/C48,0)</f>
        <v>1.0078792165018426</v>
      </c>
      <c r="D119" s="168">
        <f t="shared" ca="1" si="68"/>
        <v>0.98832945744480516</v>
      </c>
      <c r="E119" s="168">
        <f t="shared" ca="1" si="68"/>
        <v>0.9676625692987938</v>
      </c>
      <c r="F119" s="168">
        <f t="shared" ca="1" si="68"/>
        <v>0.94581471611586776</v>
      </c>
      <c r="G119" s="168">
        <f t="shared" ca="1" si="68"/>
        <v>0.93044936828720615</v>
      </c>
      <c r="H119" s="168">
        <f t="shared" ca="1" si="68"/>
        <v>0.92222222222222205</v>
      </c>
      <c r="I119" s="168">
        <f t="shared" ref="I119:P119" si="69">IF((I29&lt;3),I94/I48,0)</f>
        <v>0</v>
      </c>
      <c r="J119" s="168">
        <f t="shared" si="69"/>
        <v>0</v>
      </c>
      <c r="K119" s="168">
        <f t="shared" si="69"/>
        <v>0</v>
      </c>
      <c r="L119" s="168">
        <f t="shared" si="69"/>
        <v>0</v>
      </c>
      <c r="M119" s="168">
        <f t="shared" si="69"/>
        <v>0</v>
      </c>
      <c r="N119" s="168">
        <f t="shared" si="69"/>
        <v>0</v>
      </c>
      <c r="O119" s="168">
        <f t="shared" si="69"/>
        <v>0</v>
      </c>
      <c r="P119" s="168">
        <f t="shared" si="69"/>
        <v>0</v>
      </c>
      <c r="Q119" s="149"/>
      <c r="R119" s="149"/>
      <c r="S119" s="149"/>
      <c r="T119" s="149"/>
      <c r="U119" s="149"/>
      <c r="V119" s="149"/>
    </row>
    <row r="120" spans="1:22" x14ac:dyDescent="0.25">
      <c r="A120" s="147" t="s">
        <v>71</v>
      </c>
      <c r="B120" s="60" t="s">
        <v>250</v>
      </c>
      <c r="C120" s="168">
        <f t="shared" ref="C120:H120" ca="1" si="70">IF((C29&lt;3),C94/C53,0)</f>
        <v>5.2650406832185821</v>
      </c>
      <c r="D120" s="168">
        <f t="shared" ca="1" si="70"/>
        <v>5.1629150762042055</v>
      </c>
      <c r="E120" s="168">
        <f t="shared" ca="1" si="70"/>
        <v>5.0549537202175792</v>
      </c>
      <c r="F120" s="168">
        <f t="shared" ca="1" si="70"/>
        <v>5.1995049838830418</v>
      </c>
      <c r="G120" s="168">
        <f t="shared" ca="1" si="70"/>
        <v>5.397634456914731</v>
      </c>
      <c r="H120" s="168">
        <f t="shared" ca="1" si="70"/>
        <v>5.6627680311890822</v>
      </c>
      <c r="I120" s="168">
        <f t="shared" ref="I120:P120" si="71">IF((I29&lt;3),I94/I53,0)</f>
        <v>0</v>
      </c>
      <c r="J120" s="168">
        <f t="shared" si="71"/>
        <v>0</v>
      </c>
      <c r="K120" s="168">
        <f t="shared" si="71"/>
        <v>0</v>
      </c>
      <c r="L120" s="168">
        <f t="shared" si="71"/>
        <v>0</v>
      </c>
      <c r="M120" s="168">
        <f t="shared" si="71"/>
        <v>0</v>
      </c>
      <c r="N120" s="168">
        <f t="shared" si="71"/>
        <v>0</v>
      </c>
      <c r="O120" s="168">
        <f t="shared" si="71"/>
        <v>0</v>
      </c>
      <c r="P120" s="168">
        <f t="shared" si="71"/>
        <v>0</v>
      </c>
      <c r="Q120" s="149"/>
      <c r="R120" s="149"/>
      <c r="S120" s="149"/>
      <c r="T120" s="149"/>
      <c r="U120" s="149"/>
      <c r="V120" s="149"/>
    </row>
    <row r="121" spans="1:22" x14ac:dyDescent="0.25">
      <c r="A121" s="147" t="s">
        <v>68</v>
      </c>
      <c r="B121" s="60" t="s">
        <v>14</v>
      </c>
      <c r="C121" s="168">
        <f t="shared" ref="C121:P121" ca="1" si="72">IF(C64&lt;&gt;0,C92/C64,0)</f>
        <v>6.0959671966373126</v>
      </c>
      <c r="D121" s="168">
        <f t="shared" ca="1" si="72"/>
        <v>5.9192932402949019</v>
      </c>
      <c r="E121" s="168">
        <f t="shared" ca="1" si="72"/>
        <v>5.7325236293043567</v>
      </c>
      <c r="F121" s="168">
        <f t="shared" ca="1" si="72"/>
        <v>6.4026253360346388</v>
      </c>
      <c r="G121" s="168">
        <f t="shared" ca="1" si="72"/>
        <v>7.3124689070369939</v>
      </c>
      <c r="H121" s="168">
        <f t="shared" ca="1" si="72"/>
        <v>8.5302653399672774</v>
      </c>
      <c r="I121" s="168">
        <f t="shared" ca="1" si="72"/>
        <v>0</v>
      </c>
      <c r="J121" s="168">
        <f t="shared" ca="1" si="72"/>
        <v>0</v>
      </c>
      <c r="K121" s="168">
        <f t="shared" ca="1" si="72"/>
        <v>0</v>
      </c>
      <c r="L121" s="168">
        <f t="shared" ca="1" si="72"/>
        <v>0</v>
      </c>
      <c r="M121" s="168">
        <f t="shared" ca="1" si="72"/>
        <v>0</v>
      </c>
      <c r="N121" s="168">
        <f t="shared" ca="1" si="72"/>
        <v>0</v>
      </c>
      <c r="O121" s="168">
        <f t="shared" ca="1" si="72"/>
        <v>0</v>
      </c>
      <c r="P121" s="168">
        <f t="shared" ca="1" si="72"/>
        <v>0</v>
      </c>
      <c r="Q121" s="149"/>
      <c r="R121" s="149"/>
      <c r="S121" s="149"/>
      <c r="T121" s="149"/>
      <c r="U121" s="149"/>
      <c r="V121" s="149"/>
    </row>
    <row r="122" spans="1:22" x14ac:dyDescent="0.25">
      <c r="A122" s="147"/>
      <c r="B122" s="60"/>
      <c r="C122" s="60"/>
      <c r="D122" s="60"/>
      <c r="E122" s="60"/>
      <c r="F122" s="60"/>
      <c r="G122" s="60"/>
      <c r="H122" s="60"/>
      <c r="I122" s="60"/>
      <c r="J122" s="60"/>
      <c r="K122" s="60"/>
      <c r="L122" s="60"/>
      <c r="M122" s="60"/>
      <c r="N122" s="60"/>
      <c r="O122" s="60"/>
      <c r="P122" s="60"/>
      <c r="Q122" s="60"/>
      <c r="R122" s="60"/>
      <c r="S122" s="60"/>
      <c r="T122" s="60"/>
      <c r="U122" s="60"/>
      <c r="V122" s="60"/>
    </row>
    <row r="123" spans="1:22" ht="13" x14ac:dyDescent="0.3">
      <c r="B123" s="169" t="s">
        <v>271</v>
      </c>
      <c r="C123" s="60"/>
      <c r="D123" s="60"/>
      <c r="E123" s="60"/>
      <c r="F123" s="60"/>
      <c r="G123" s="60"/>
      <c r="H123" s="60"/>
      <c r="I123" s="60"/>
      <c r="J123" s="60"/>
      <c r="K123" s="150"/>
      <c r="L123" s="150"/>
      <c r="M123" s="170"/>
      <c r="N123" s="170"/>
      <c r="O123" s="170"/>
      <c r="P123" s="170"/>
    </row>
    <row r="124" spans="1:22" x14ac:dyDescent="0.25">
      <c r="B124" s="171" t="s">
        <v>118</v>
      </c>
      <c r="C124" s="138">
        <f t="shared" ref="C124:M124" si="73">IF(C28=$C$26,(C43-C49*(1-C35)*C38/C87*(C43-C41))/(1-C49*(1-C35)/C87*(C43-C41)),0)</f>
        <v>0</v>
      </c>
      <c r="D124" s="138">
        <f t="shared" si="73"/>
        <v>0</v>
      </c>
      <c r="E124" s="138">
        <f t="shared" si="73"/>
        <v>0</v>
      </c>
      <c r="F124" s="138">
        <f t="shared" si="73"/>
        <v>0</v>
      </c>
      <c r="G124" s="138">
        <f t="shared" si="73"/>
        <v>0</v>
      </c>
      <c r="H124" s="138">
        <f ca="1">IF(H28=$C$26,(H43-H49*(1-H35)*H38/H87*(H43-H41))/(1-H49*(1-H35)/H87*(H43-H41)),0)</f>
        <v>0.11535844471445318</v>
      </c>
      <c r="I124" s="138">
        <f t="shared" si="73"/>
        <v>0</v>
      </c>
      <c r="J124" s="138">
        <f t="shared" si="73"/>
        <v>0</v>
      </c>
      <c r="K124" s="138">
        <f t="shared" si="73"/>
        <v>0</v>
      </c>
      <c r="L124" s="138">
        <f t="shared" si="73"/>
        <v>0</v>
      </c>
      <c r="M124" s="138">
        <f t="shared" si="73"/>
        <v>0</v>
      </c>
      <c r="N124" s="138">
        <f>IF(N28=$C$26,(N43-N49*(1-N35)*N38/N87*(N43-N41))/(1-N49*(1-N35)/N87*(N43-N41)),0)</f>
        <v>0</v>
      </c>
      <c r="O124" s="138">
        <f>IF(O28=$C$26,(O43-O49*(1-O35)*O38/O87*(O43-O41))/(1-O49*(1-O35)/O87*(O43-O41)),0)</f>
        <v>0</v>
      </c>
      <c r="P124" s="138">
        <f>IF(P28=$C$26,(P43-P49*(1-P35)*P38/P87*(P43-P41))/(1-P49*(1-P35)/P87*(P43-P41)),0)</f>
        <v>0</v>
      </c>
      <c r="Q124" s="138"/>
      <c r="R124" s="138"/>
      <c r="S124" s="138"/>
      <c r="T124" s="138"/>
      <c r="U124" s="138"/>
      <c r="V124" s="138"/>
    </row>
    <row r="125" spans="1:22" x14ac:dyDescent="0.25">
      <c r="B125" s="171" t="s">
        <v>119</v>
      </c>
      <c r="C125" s="138">
        <f ca="1">IF(C28&lt;$C$26,(C43+C49*(1-C35)*(C43-C41)/(D92+C87))/(1-C49*(1-C35)*(C43-C41)/(D92+C87)),0)</f>
        <v>0.13419570669035974</v>
      </c>
      <c r="D125" s="138">
        <f ca="1">IF(D28&lt;$C$26,(D43+D49*(1-D35)*(D43-D41)/(E92+D87))/(1-D49*(1-D35)*(D43-D41)/(E92+D87)),0)</f>
        <v>0.13491787926298826</v>
      </c>
      <c r="E125" s="138">
        <f ca="1">IF(E28&lt;$C$26,(E43+E49*(1-E35)*(E43-E41)/(F92+E87))/(1-E49*(1-E35)*(E43-E41)/(F92+E87)),0)</f>
        <v>0.13572972111792056</v>
      </c>
      <c r="F125" s="138">
        <f ca="1">IF(F28&lt;$C$26,(F43+F49*(1-F35)*(F43-F41)/(G92+F87))/(1-F49*(1-F35)*(F43-F41)/(G92+F87)),0)</f>
        <v>0.12940101169496052</v>
      </c>
      <c r="G125" s="138">
        <f ca="1">IF(G28&lt;$C$26,(G43+G49*(1-G35)*(G43-G41)/(H92+G87))/(1-G49*(1-G35)*(G43-G41)/(H92+G87)),0)</f>
        <v>0.12250606139198217</v>
      </c>
      <c r="H125" s="138">
        <f t="shared" ref="H125:M125" si="74">IF(H28&lt;$C$26,(H43+H49*(1-H35)*(H43-H41)/(I92+H87))/(1-H49*(1-H35)*(H43-H41)/(I92+H87)),0)</f>
        <v>0</v>
      </c>
      <c r="I125" s="138">
        <f t="shared" si="74"/>
        <v>0</v>
      </c>
      <c r="J125" s="138">
        <f t="shared" si="74"/>
        <v>0</v>
      </c>
      <c r="K125" s="138">
        <f t="shared" si="74"/>
        <v>0</v>
      </c>
      <c r="L125" s="138">
        <f t="shared" si="74"/>
        <v>0</v>
      </c>
      <c r="M125" s="138">
        <f t="shared" si="74"/>
        <v>0</v>
      </c>
      <c r="N125" s="138">
        <f>IF(N28&lt;$C$26,(N43+N49*(1-N35)*(N43-N41)/(O92+N87))/(1-N49*(1-N35)*(N43-N41)/(O92+N87)),0)</f>
        <v>0</v>
      </c>
      <c r="O125" s="138">
        <f>IF(O28&lt;$C$26,(O43+O49*(1-O35)*(O43-O41)/(P92+O87))/(1-O49*(1-O35)*(O43-O41)/(P92+O87)),0)</f>
        <v>0</v>
      </c>
      <c r="P125" s="138">
        <f>IF(P28&lt;$C$26,(P43+P49*(1-P35)*(P43-P41)/(Q92+P87))/(1-P49*(1-P35)*(P43-P41)/(Q92+P87)),0)</f>
        <v>0</v>
      </c>
      <c r="Q125" s="138"/>
      <c r="R125" s="138"/>
      <c r="S125" s="138"/>
      <c r="T125" s="138"/>
      <c r="U125" s="138"/>
      <c r="V125" s="138"/>
    </row>
    <row r="126" spans="1:22" x14ac:dyDescent="0.25">
      <c r="B126" s="171" t="s">
        <v>115</v>
      </c>
      <c r="C126" s="138">
        <f t="shared" ref="C126:H126" ca="1" si="75">SUM(C124:C125)</f>
        <v>0.13419570669035974</v>
      </c>
      <c r="D126" s="138">
        <f t="shared" ca="1" si="75"/>
        <v>0.13491787926298826</v>
      </c>
      <c r="E126" s="138">
        <f t="shared" ca="1" si="75"/>
        <v>0.13572972111792056</v>
      </c>
      <c r="F126" s="138">
        <f t="shared" ca="1" si="75"/>
        <v>0.12940101169496052</v>
      </c>
      <c r="G126" s="138">
        <f t="shared" ca="1" si="75"/>
        <v>0.12250606139198217</v>
      </c>
      <c r="H126" s="138">
        <f t="shared" ca="1" si="75"/>
        <v>0.11535844471445318</v>
      </c>
      <c r="I126" s="138">
        <f t="shared" ref="I126:P126" si="76">SUM(I124:I125)</f>
        <v>0</v>
      </c>
      <c r="J126" s="138">
        <f t="shared" si="76"/>
        <v>0</v>
      </c>
      <c r="K126" s="138">
        <f t="shared" si="76"/>
        <v>0</v>
      </c>
      <c r="L126" s="138">
        <f t="shared" si="76"/>
        <v>0</v>
      </c>
      <c r="M126" s="138">
        <f t="shared" si="76"/>
        <v>0</v>
      </c>
      <c r="N126" s="138">
        <f t="shared" si="76"/>
        <v>0</v>
      </c>
      <c r="O126" s="138">
        <f t="shared" si="76"/>
        <v>0</v>
      </c>
      <c r="P126" s="138">
        <f t="shared" si="76"/>
        <v>0</v>
      </c>
      <c r="Q126" s="138"/>
      <c r="R126" s="138"/>
      <c r="S126" s="138"/>
      <c r="T126" s="138"/>
      <c r="U126" s="138"/>
      <c r="V126" s="138"/>
    </row>
    <row r="127" spans="1:22" x14ac:dyDescent="0.25">
      <c r="A127" s="147"/>
      <c r="B127" s="60"/>
      <c r="C127" s="60"/>
      <c r="D127" s="60"/>
      <c r="E127" s="60"/>
      <c r="F127" s="60"/>
      <c r="G127" s="60"/>
      <c r="H127" s="60"/>
      <c r="I127" s="60"/>
      <c r="J127" s="60"/>
      <c r="K127" s="150"/>
      <c r="L127" s="150"/>
      <c r="M127" s="170"/>
    </row>
    <row r="128" spans="1:22" x14ac:dyDescent="0.25">
      <c r="A128" s="147"/>
      <c r="B128" s="466" t="s">
        <v>307</v>
      </c>
      <c r="C128" s="467"/>
      <c r="D128" s="467"/>
      <c r="E128" s="467"/>
      <c r="F128" s="467"/>
      <c r="G128" s="467"/>
      <c r="H128" s="467"/>
      <c r="I128" s="467"/>
      <c r="J128" s="467"/>
      <c r="K128" s="467"/>
      <c r="L128" s="467"/>
      <c r="M128" s="467"/>
      <c r="N128" s="468"/>
      <c r="O128" s="468"/>
      <c r="P128" s="469"/>
    </row>
    <row r="129" spans="1:255" x14ac:dyDescent="0.25">
      <c r="A129" s="147"/>
      <c r="B129" s="470"/>
      <c r="C129" s="471"/>
      <c r="D129" s="471"/>
      <c r="E129" s="471"/>
      <c r="F129" s="471"/>
      <c r="G129" s="471"/>
      <c r="H129" s="471"/>
      <c r="I129" s="471"/>
      <c r="J129" s="471"/>
      <c r="K129" s="471"/>
      <c r="L129" s="471"/>
      <c r="M129" s="471"/>
      <c r="N129" s="472"/>
      <c r="O129" s="472"/>
      <c r="P129" s="473"/>
    </row>
    <row r="130" spans="1:255" x14ac:dyDescent="0.25">
      <c r="A130" s="147"/>
      <c r="B130" s="60"/>
      <c r="C130" s="60"/>
      <c r="D130" s="60"/>
      <c r="E130" s="60"/>
      <c r="F130" s="60"/>
      <c r="G130" s="60"/>
      <c r="H130" s="60"/>
      <c r="I130" s="60"/>
      <c r="J130" s="60"/>
      <c r="K130" s="150"/>
      <c r="L130" s="150"/>
      <c r="M130" s="170"/>
    </row>
    <row r="131" spans="1:255" ht="13" x14ac:dyDescent="0.3">
      <c r="A131" s="147"/>
      <c r="B131" s="60"/>
      <c r="C131" s="145">
        <f>C$46</f>
        <v>2020</v>
      </c>
      <c r="D131" s="145">
        <f t="shared" ref="D131:P131" si="77">D$46</f>
        <v>2021</v>
      </c>
      <c r="E131" s="145">
        <f t="shared" si="77"/>
        <v>2022</v>
      </c>
      <c r="F131" s="145">
        <f t="shared" si="77"/>
        <v>2023</v>
      </c>
      <c r="G131" s="145">
        <f t="shared" si="77"/>
        <v>2024</v>
      </c>
      <c r="H131" s="145">
        <f t="shared" si="77"/>
        <v>2025</v>
      </c>
      <c r="I131" s="145">
        <f t="shared" si="77"/>
        <v>0</v>
      </c>
      <c r="J131" s="145">
        <f t="shared" si="77"/>
        <v>0</v>
      </c>
      <c r="K131" s="145">
        <f t="shared" si="77"/>
        <v>0</v>
      </c>
      <c r="L131" s="145">
        <f t="shared" si="77"/>
        <v>0</v>
      </c>
      <c r="M131" s="145">
        <f t="shared" si="77"/>
        <v>0</v>
      </c>
      <c r="N131" s="145">
        <f t="shared" si="77"/>
        <v>0</v>
      </c>
      <c r="O131" s="145">
        <f t="shared" si="77"/>
        <v>0</v>
      </c>
      <c r="P131" s="145">
        <f t="shared" si="77"/>
        <v>0</v>
      </c>
    </row>
    <row r="132" spans="1:255" ht="13" x14ac:dyDescent="0.3">
      <c r="A132" s="147"/>
      <c r="B132" s="146" t="s">
        <v>286</v>
      </c>
      <c r="C132" s="60"/>
      <c r="D132" s="60"/>
      <c r="E132" s="60"/>
      <c r="F132" s="60"/>
      <c r="G132" s="60"/>
      <c r="H132" s="60"/>
      <c r="I132" s="60"/>
      <c r="J132" s="60"/>
      <c r="K132" s="150"/>
      <c r="L132" s="150"/>
      <c r="M132" s="170"/>
    </row>
    <row r="133" spans="1:255" x14ac:dyDescent="0.25">
      <c r="A133" s="147" t="s">
        <v>287</v>
      </c>
      <c r="B133" s="20" t="s">
        <v>311</v>
      </c>
      <c r="C133" s="21"/>
      <c r="D133" s="21"/>
      <c r="E133" s="21"/>
      <c r="F133" s="21"/>
      <c r="G133" s="21"/>
      <c r="H133" s="21"/>
      <c r="I133" s="21"/>
      <c r="J133" s="21"/>
      <c r="K133" s="21"/>
      <c r="L133" s="21"/>
      <c r="M133" s="21"/>
      <c r="N133" s="21"/>
      <c r="O133" s="21"/>
      <c r="P133" s="21"/>
      <c r="Q133" s="50"/>
      <c r="R133" s="50"/>
      <c r="S133" s="50"/>
      <c r="T133" s="50"/>
      <c r="U133" s="50"/>
      <c r="V133" s="50"/>
      <c r="W133" s="50"/>
      <c r="X133" s="50"/>
      <c r="Y133" s="50"/>
      <c r="Z133" s="50"/>
      <c r="AA133" s="50"/>
      <c r="AB133" s="50"/>
      <c r="AC133" s="50"/>
      <c r="AD133" s="50"/>
      <c r="AE133" s="50"/>
      <c r="AF133" s="50"/>
      <c r="AG133" s="50"/>
      <c r="AH133" s="50"/>
      <c r="AI133" s="50"/>
      <c r="AJ133" s="50"/>
      <c r="AK133" s="50"/>
      <c r="AL133" s="50"/>
      <c r="AM133" s="50"/>
      <c r="AN133" s="50"/>
      <c r="AO133" s="50"/>
      <c r="AP133" s="50"/>
      <c r="AQ133" s="50"/>
      <c r="AR133" s="50"/>
      <c r="AS133" s="50"/>
      <c r="AT133" s="50"/>
      <c r="AU133" s="50"/>
      <c r="AV133" s="50"/>
      <c r="AW133" s="50"/>
      <c r="AX133" s="50"/>
      <c r="AY133" s="50"/>
      <c r="AZ133" s="50"/>
      <c r="BA133" s="50"/>
      <c r="BB133" s="50"/>
      <c r="BC133" s="50"/>
      <c r="BD133" s="50"/>
      <c r="BE133" s="50"/>
      <c r="BF133" s="50"/>
      <c r="BG133" s="50"/>
      <c r="BH133" s="50"/>
      <c r="BI133" s="50"/>
      <c r="BJ133" s="50"/>
      <c r="BK133" s="50"/>
      <c r="BL133" s="50"/>
      <c r="BM133" s="50"/>
      <c r="BN133" s="50"/>
      <c r="BO133" s="50"/>
      <c r="BP133" s="50"/>
      <c r="BQ133" s="50"/>
      <c r="BR133" s="50"/>
      <c r="BS133" s="50"/>
      <c r="BT133" s="50"/>
      <c r="BU133" s="50"/>
      <c r="BV133" s="50"/>
      <c r="BW133" s="50"/>
      <c r="BX133" s="50"/>
      <c r="BY133" s="50"/>
      <c r="BZ133" s="50"/>
      <c r="CA133" s="50"/>
      <c r="CB133" s="50"/>
      <c r="CC133" s="50"/>
      <c r="CD133" s="50"/>
      <c r="CE133" s="50"/>
      <c r="CF133" s="50"/>
      <c r="CG133" s="50"/>
      <c r="CH133" s="50"/>
      <c r="CI133" s="50"/>
      <c r="CJ133" s="50"/>
      <c r="CK133" s="50"/>
      <c r="CL133" s="50"/>
      <c r="CM133" s="50"/>
      <c r="CN133" s="50"/>
      <c r="CO133" s="50"/>
      <c r="CP133" s="50"/>
      <c r="CQ133" s="50"/>
      <c r="CR133" s="50"/>
      <c r="CS133" s="50"/>
      <c r="CT133" s="50"/>
      <c r="CU133" s="50"/>
      <c r="CV133" s="50"/>
      <c r="CW133" s="50"/>
      <c r="CX133" s="50"/>
      <c r="CY133" s="50"/>
      <c r="CZ133" s="50"/>
      <c r="DA133" s="50"/>
      <c r="DB133" s="50"/>
      <c r="DC133" s="50"/>
      <c r="DD133" s="50"/>
      <c r="DE133" s="50"/>
      <c r="DF133" s="50"/>
      <c r="DG133" s="50"/>
      <c r="DH133" s="50"/>
      <c r="DI133" s="50"/>
      <c r="DJ133" s="50"/>
      <c r="DK133" s="50"/>
      <c r="DL133" s="50"/>
      <c r="DM133" s="50"/>
      <c r="DN133" s="50"/>
      <c r="DO133" s="50"/>
      <c r="DP133" s="50"/>
      <c r="DQ133" s="50"/>
      <c r="DR133" s="50"/>
      <c r="DS133" s="50"/>
      <c r="DT133" s="50"/>
      <c r="DU133" s="50"/>
      <c r="DV133" s="50"/>
      <c r="DW133" s="50"/>
      <c r="DX133" s="50"/>
      <c r="DY133" s="50"/>
      <c r="DZ133" s="50"/>
      <c r="EA133" s="50"/>
      <c r="EB133" s="50"/>
      <c r="EC133" s="50"/>
      <c r="ED133" s="50"/>
      <c r="EE133" s="50"/>
      <c r="EF133" s="50"/>
      <c r="EG133" s="50"/>
      <c r="EH133" s="50"/>
      <c r="EI133" s="50"/>
      <c r="EJ133" s="50"/>
      <c r="EK133" s="50"/>
      <c r="EL133" s="50"/>
      <c r="EM133" s="50"/>
      <c r="EN133" s="50"/>
      <c r="EO133" s="50"/>
      <c r="EP133" s="50"/>
      <c r="EQ133" s="50"/>
      <c r="ER133" s="50"/>
      <c r="ES133" s="50"/>
      <c r="ET133" s="50"/>
      <c r="EU133" s="50"/>
      <c r="EV133" s="50"/>
      <c r="EW133" s="50"/>
      <c r="EX133" s="50"/>
      <c r="EY133" s="50"/>
      <c r="EZ133" s="50"/>
      <c r="FA133" s="50"/>
      <c r="FB133" s="50"/>
      <c r="FC133" s="50"/>
      <c r="FD133" s="50"/>
      <c r="FE133" s="50"/>
      <c r="FF133" s="50"/>
      <c r="FG133" s="50"/>
      <c r="FH133" s="50"/>
      <c r="FI133" s="50"/>
      <c r="FJ133" s="50"/>
      <c r="FK133" s="50"/>
      <c r="FL133" s="50"/>
      <c r="FM133" s="50"/>
      <c r="FN133" s="50"/>
      <c r="FO133" s="50"/>
      <c r="FP133" s="50"/>
      <c r="FQ133" s="50"/>
      <c r="FR133" s="50"/>
      <c r="FS133" s="50"/>
      <c r="FT133" s="50"/>
      <c r="FU133" s="50"/>
      <c r="FV133" s="50"/>
      <c r="FW133" s="50"/>
      <c r="FX133" s="50"/>
      <c r="FY133" s="50"/>
      <c r="FZ133" s="50"/>
      <c r="GA133" s="50"/>
      <c r="GB133" s="50"/>
      <c r="GC133" s="50"/>
      <c r="GD133" s="50"/>
      <c r="GE133" s="50"/>
      <c r="GF133" s="50"/>
      <c r="GG133" s="50"/>
      <c r="GH133" s="50"/>
      <c r="GI133" s="50"/>
      <c r="GJ133" s="50"/>
      <c r="GK133" s="50"/>
      <c r="GL133" s="50"/>
      <c r="GM133" s="50"/>
      <c r="GN133" s="50"/>
      <c r="GO133" s="50"/>
      <c r="GP133" s="50"/>
      <c r="GQ133" s="50"/>
      <c r="GR133" s="50"/>
      <c r="GS133" s="50"/>
      <c r="GT133" s="50"/>
      <c r="GU133" s="50"/>
      <c r="GV133" s="50"/>
      <c r="GW133" s="50"/>
      <c r="GX133" s="50"/>
      <c r="GY133" s="50"/>
      <c r="GZ133" s="50"/>
      <c r="HA133" s="50"/>
      <c r="HB133" s="50"/>
      <c r="HC133" s="50"/>
      <c r="HD133" s="50"/>
      <c r="HE133" s="50"/>
      <c r="HF133" s="50"/>
      <c r="HG133" s="50"/>
      <c r="HH133" s="50"/>
      <c r="HI133" s="50"/>
      <c r="HJ133" s="50"/>
      <c r="HK133" s="50"/>
      <c r="HL133" s="50"/>
      <c r="HM133" s="50"/>
      <c r="HN133" s="50"/>
      <c r="HO133" s="50"/>
      <c r="HP133" s="50"/>
      <c r="HQ133" s="50"/>
      <c r="HR133" s="50"/>
      <c r="HS133" s="50"/>
      <c r="HT133" s="50"/>
      <c r="HU133" s="50"/>
      <c r="HV133" s="50"/>
      <c r="HW133" s="50"/>
      <c r="HX133" s="50"/>
      <c r="HY133" s="50"/>
      <c r="HZ133" s="50"/>
      <c r="IA133" s="50"/>
      <c r="IB133" s="50"/>
      <c r="IC133" s="50"/>
      <c r="ID133" s="50"/>
      <c r="IE133" s="50"/>
      <c r="IF133" s="50"/>
      <c r="IG133" s="50"/>
      <c r="IH133" s="50"/>
      <c r="II133" s="50"/>
      <c r="IJ133" s="50"/>
      <c r="IK133" s="50"/>
      <c r="IL133" s="50"/>
      <c r="IM133" s="50"/>
      <c r="IN133" s="50"/>
      <c r="IO133" s="50"/>
      <c r="IP133" s="50"/>
      <c r="IQ133" s="50"/>
      <c r="IR133" s="50"/>
      <c r="IS133" s="50"/>
      <c r="IT133" s="50"/>
      <c r="IU133" s="50"/>
    </row>
    <row r="134" spans="1:255" x14ac:dyDescent="0.25">
      <c r="A134" s="147" t="s">
        <v>288</v>
      </c>
      <c r="B134" s="20" t="s">
        <v>295</v>
      </c>
      <c r="C134" s="21"/>
      <c r="D134" s="21"/>
      <c r="E134" s="21"/>
      <c r="F134" s="21"/>
      <c r="G134" s="21"/>
      <c r="H134" s="21"/>
      <c r="I134" s="21"/>
      <c r="J134" s="21"/>
      <c r="K134" s="21"/>
      <c r="L134" s="21"/>
      <c r="M134" s="21"/>
      <c r="N134" s="21"/>
      <c r="O134" s="21"/>
      <c r="P134" s="21"/>
      <c r="Q134" s="50"/>
      <c r="R134" s="50"/>
      <c r="S134" s="50"/>
      <c r="T134" s="50"/>
      <c r="U134" s="50"/>
      <c r="V134" s="50"/>
      <c r="W134" s="50"/>
      <c r="X134" s="50"/>
      <c r="Y134" s="50"/>
      <c r="Z134" s="50"/>
      <c r="AA134" s="50"/>
      <c r="AB134" s="50"/>
      <c r="AC134" s="50"/>
      <c r="AD134" s="50"/>
      <c r="AE134" s="50"/>
      <c r="AF134" s="50"/>
      <c r="AG134" s="50"/>
      <c r="AH134" s="50"/>
      <c r="AI134" s="50"/>
      <c r="AJ134" s="50"/>
      <c r="AK134" s="50"/>
      <c r="AL134" s="50"/>
      <c r="AM134" s="50"/>
      <c r="AN134" s="50"/>
      <c r="AO134" s="50"/>
      <c r="AP134" s="50"/>
      <c r="AQ134" s="50"/>
      <c r="AR134" s="50"/>
      <c r="AS134" s="50"/>
      <c r="AT134" s="50"/>
      <c r="AU134" s="50"/>
      <c r="AV134" s="50"/>
      <c r="AW134" s="50"/>
      <c r="AX134" s="50"/>
      <c r="AY134" s="50"/>
      <c r="AZ134" s="50"/>
      <c r="BA134" s="50"/>
      <c r="BB134" s="50"/>
      <c r="BC134" s="50"/>
      <c r="BD134" s="50"/>
      <c r="BE134" s="50"/>
      <c r="BF134" s="50"/>
      <c r="BG134" s="50"/>
      <c r="BH134" s="50"/>
      <c r="BI134" s="50"/>
      <c r="BJ134" s="50"/>
      <c r="BK134" s="50"/>
      <c r="BL134" s="50"/>
      <c r="BM134" s="50"/>
      <c r="BN134" s="50"/>
      <c r="BO134" s="50"/>
      <c r="BP134" s="50"/>
      <c r="BQ134" s="50"/>
      <c r="BR134" s="50"/>
      <c r="BS134" s="50"/>
      <c r="BT134" s="50"/>
      <c r="BU134" s="50"/>
      <c r="BV134" s="50"/>
      <c r="BW134" s="50"/>
      <c r="BX134" s="50"/>
      <c r="BY134" s="50"/>
      <c r="BZ134" s="50"/>
      <c r="CA134" s="50"/>
      <c r="CB134" s="50"/>
      <c r="CC134" s="50"/>
      <c r="CD134" s="50"/>
      <c r="CE134" s="50"/>
      <c r="CF134" s="50"/>
      <c r="CG134" s="50"/>
      <c r="CH134" s="50"/>
      <c r="CI134" s="50"/>
      <c r="CJ134" s="50"/>
      <c r="CK134" s="50"/>
      <c r="CL134" s="50"/>
      <c r="CM134" s="50"/>
      <c r="CN134" s="50"/>
      <c r="CO134" s="50"/>
      <c r="CP134" s="50"/>
      <c r="CQ134" s="50"/>
      <c r="CR134" s="50"/>
      <c r="CS134" s="50"/>
      <c r="CT134" s="50"/>
      <c r="CU134" s="50"/>
      <c r="CV134" s="50"/>
      <c r="CW134" s="50"/>
      <c r="CX134" s="50"/>
      <c r="CY134" s="50"/>
      <c r="CZ134" s="50"/>
      <c r="DA134" s="50"/>
      <c r="DB134" s="50"/>
      <c r="DC134" s="50"/>
      <c r="DD134" s="50"/>
      <c r="DE134" s="50"/>
      <c r="DF134" s="50"/>
      <c r="DG134" s="50"/>
      <c r="DH134" s="50"/>
      <c r="DI134" s="50"/>
      <c r="DJ134" s="50"/>
      <c r="DK134" s="50"/>
      <c r="DL134" s="50"/>
      <c r="DM134" s="50"/>
      <c r="DN134" s="50"/>
      <c r="DO134" s="50"/>
      <c r="DP134" s="50"/>
      <c r="DQ134" s="50"/>
      <c r="DR134" s="50"/>
      <c r="DS134" s="50"/>
      <c r="DT134" s="50"/>
      <c r="DU134" s="50"/>
      <c r="DV134" s="50"/>
      <c r="DW134" s="50"/>
      <c r="DX134" s="50"/>
      <c r="DY134" s="50"/>
      <c r="DZ134" s="50"/>
      <c r="EA134" s="50"/>
      <c r="EB134" s="50"/>
      <c r="EC134" s="50"/>
      <c r="ED134" s="50"/>
      <c r="EE134" s="50"/>
      <c r="EF134" s="50"/>
      <c r="EG134" s="50"/>
      <c r="EH134" s="50"/>
      <c r="EI134" s="50"/>
      <c r="EJ134" s="50"/>
      <c r="EK134" s="50"/>
      <c r="EL134" s="50"/>
      <c r="EM134" s="50"/>
      <c r="EN134" s="50"/>
      <c r="EO134" s="50"/>
      <c r="EP134" s="50"/>
      <c r="EQ134" s="50"/>
      <c r="ER134" s="50"/>
      <c r="ES134" s="50"/>
      <c r="ET134" s="50"/>
      <c r="EU134" s="50"/>
      <c r="EV134" s="50"/>
      <c r="EW134" s="50"/>
      <c r="EX134" s="50"/>
      <c r="EY134" s="50"/>
      <c r="EZ134" s="50"/>
      <c r="FA134" s="50"/>
      <c r="FB134" s="50"/>
      <c r="FC134" s="50"/>
      <c r="FD134" s="50"/>
      <c r="FE134" s="50"/>
      <c r="FF134" s="50"/>
      <c r="FG134" s="50"/>
      <c r="FH134" s="50"/>
      <c r="FI134" s="50"/>
      <c r="FJ134" s="50"/>
      <c r="FK134" s="50"/>
      <c r="FL134" s="50"/>
      <c r="FM134" s="50"/>
      <c r="FN134" s="50"/>
      <c r="FO134" s="50"/>
      <c r="FP134" s="50"/>
      <c r="FQ134" s="50"/>
      <c r="FR134" s="50"/>
      <c r="FS134" s="50"/>
      <c r="FT134" s="50"/>
      <c r="FU134" s="50"/>
      <c r="FV134" s="50"/>
      <c r="FW134" s="50"/>
      <c r="FX134" s="50"/>
      <c r="FY134" s="50"/>
      <c r="FZ134" s="50"/>
      <c r="GA134" s="50"/>
      <c r="GB134" s="50"/>
      <c r="GC134" s="50"/>
      <c r="GD134" s="50"/>
      <c r="GE134" s="50"/>
      <c r="GF134" s="50"/>
      <c r="GG134" s="50"/>
      <c r="GH134" s="50"/>
      <c r="GI134" s="50"/>
      <c r="GJ134" s="50"/>
      <c r="GK134" s="50"/>
      <c r="GL134" s="50"/>
      <c r="GM134" s="50"/>
      <c r="GN134" s="50"/>
      <c r="GO134" s="50"/>
      <c r="GP134" s="50"/>
      <c r="GQ134" s="50"/>
      <c r="GR134" s="50"/>
      <c r="GS134" s="50"/>
      <c r="GT134" s="50"/>
      <c r="GU134" s="50"/>
      <c r="GV134" s="50"/>
      <c r="GW134" s="50"/>
      <c r="GX134" s="50"/>
      <c r="GY134" s="50"/>
      <c r="GZ134" s="50"/>
      <c r="HA134" s="50"/>
      <c r="HB134" s="50"/>
      <c r="HC134" s="50"/>
      <c r="HD134" s="50"/>
      <c r="HE134" s="50"/>
      <c r="HF134" s="50"/>
      <c r="HG134" s="50"/>
      <c r="HH134" s="50"/>
      <c r="HI134" s="50"/>
      <c r="HJ134" s="50"/>
      <c r="HK134" s="50"/>
      <c r="HL134" s="50"/>
      <c r="HM134" s="50"/>
      <c r="HN134" s="50"/>
      <c r="HO134" s="50"/>
      <c r="HP134" s="50"/>
      <c r="HQ134" s="50"/>
      <c r="HR134" s="50"/>
      <c r="HS134" s="50"/>
      <c r="HT134" s="50"/>
      <c r="HU134" s="50"/>
      <c r="HV134" s="50"/>
      <c r="HW134" s="50"/>
      <c r="HX134" s="50"/>
      <c r="HY134" s="50"/>
      <c r="HZ134" s="50"/>
      <c r="IA134" s="50"/>
      <c r="IB134" s="50"/>
      <c r="IC134" s="50"/>
      <c r="ID134" s="50"/>
      <c r="IE134" s="50"/>
      <c r="IF134" s="50"/>
      <c r="IG134" s="50"/>
      <c r="IH134" s="50"/>
      <c r="II134" s="50"/>
      <c r="IJ134" s="50"/>
      <c r="IK134" s="50"/>
      <c r="IL134" s="50"/>
      <c r="IM134" s="50"/>
      <c r="IN134" s="50"/>
      <c r="IO134" s="50"/>
      <c r="IP134" s="50"/>
      <c r="IQ134" s="50"/>
      <c r="IR134" s="50"/>
      <c r="IS134" s="50"/>
      <c r="IT134" s="50"/>
      <c r="IU134" s="50"/>
    </row>
    <row r="135" spans="1:255" x14ac:dyDescent="0.25">
      <c r="A135" s="147" t="s">
        <v>289</v>
      </c>
      <c r="B135" s="20" t="s">
        <v>304</v>
      </c>
      <c r="C135" s="56"/>
      <c r="D135" s="56"/>
      <c r="E135" s="56"/>
      <c r="F135" s="56"/>
      <c r="G135" s="56"/>
      <c r="H135" s="56"/>
      <c r="I135" s="56"/>
      <c r="J135" s="56"/>
      <c r="K135" s="56"/>
      <c r="L135" s="56"/>
      <c r="M135" s="56"/>
      <c r="N135" s="56"/>
      <c r="O135" s="56"/>
      <c r="P135" s="56"/>
      <c r="Q135" s="50"/>
      <c r="R135" s="50"/>
      <c r="S135" s="50"/>
      <c r="T135" s="50"/>
      <c r="U135" s="50"/>
      <c r="V135" s="50"/>
      <c r="W135" s="50"/>
      <c r="X135" s="50"/>
      <c r="Y135" s="50"/>
      <c r="Z135" s="50"/>
      <c r="AA135" s="50"/>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c r="AZ135" s="50"/>
      <c r="BA135" s="50"/>
      <c r="BB135" s="50"/>
      <c r="BC135" s="50"/>
      <c r="BD135" s="50"/>
      <c r="BE135" s="50"/>
      <c r="BF135" s="50"/>
      <c r="BG135" s="50"/>
      <c r="BH135" s="50"/>
      <c r="BI135" s="50"/>
      <c r="BJ135" s="50"/>
      <c r="BK135" s="50"/>
      <c r="BL135" s="50"/>
      <c r="BM135" s="50"/>
      <c r="BN135" s="50"/>
      <c r="BO135" s="50"/>
      <c r="BP135" s="50"/>
      <c r="BQ135" s="50"/>
      <c r="BR135" s="50"/>
      <c r="BS135" s="50"/>
      <c r="BT135" s="50"/>
      <c r="BU135" s="50"/>
      <c r="BV135" s="50"/>
      <c r="BW135" s="50"/>
      <c r="BX135" s="50"/>
      <c r="BY135" s="50"/>
      <c r="BZ135" s="50"/>
      <c r="CA135" s="50"/>
      <c r="CB135" s="50"/>
      <c r="CC135" s="50"/>
      <c r="CD135" s="50"/>
      <c r="CE135" s="50"/>
      <c r="CF135" s="50"/>
      <c r="CG135" s="50"/>
      <c r="CH135" s="50"/>
      <c r="CI135" s="50"/>
      <c r="CJ135" s="50"/>
      <c r="CK135" s="50"/>
      <c r="CL135" s="50"/>
      <c r="CM135" s="50"/>
      <c r="CN135" s="50"/>
      <c r="CO135" s="50"/>
      <c r="CP135" s="50"/>
      <c r="CQ135" s="50"/>
      <c r="CR135" s="50"/>
      <c r="CS135" s="50"/>
      <c r="CT135" s="50"/>
      <c r="CU135" s="50"/>
      <c r="CV135" s="50"/>
      <c r="CW135" s="50"/>
      <c r="CX135" s="50"/>
      <c r="CY135" s="50"/>
      <c r="CZ135" s="50"/>
      <c r="DA135" s="50"/>
      <c r="DB135" s="50"/>
      <c r="DC135" s="50"/>
      <c r="DD135" s="50"/>
      <c r="DE135" s="50"/>
      <c r="DF135" s="50"/>
      <c r="DG135" s="50"/>
      <c r="DH135" s="50"/>
      <c r="DI135" s="50"/>
      <c r="DJ135" s="50"/>
      <c r="DK135" s="50"/>
      <c r="DL135" s="50"/>
      <c r="DM135" s="50"/>
      <c r="DN135" s="50"/>
      <c r="DO135" s="50"/>
      <c r="DP135" s="50"/>
      <c r="DQ135" s="50"/>
      <c r="DR135" s="50"/>
      <c r="DS135" s="50"/>
      <c r="DT135" s="50"/>
      <c r="DU135" s="50"/>
      <c r="DV135" s="50"/>
      <c r="DW135" s="50"/>
      <c r="DX135" s="50"/>
      <c r="DY135" s="50"/>
      <c r="DZ135" s="50"/>
      <c r="EA135" s="50"/>
      <c r="EB135" s="50"/>
      <c r="EC135" s="50"/>
      <c r="ED135" s="50"/>
      <c r="EE135" s="50"/>
      <c r="EF135" s="50"/>
      <c r="EG135" s="50"/>
      <c r="EH135" s="50"/>
      <c r="EI135" s="50"/>
      <c r="EJ135" s="50"/>
      <c r="EK135" s="50"/>
      <c r="EL135" s="50"/>
      <c r="EM135" s="50"/>
      <c r="EN135" s="50"/>
      <c r="EO135" s="50"/>
      <c r="EP135" s="50"/>
      <c r="EQ135" s="50"/>
      <c r="ER135" s="50"/>
      <c r="ES135" s="50"/>
      <c r="ET135" s="50"/>
      <c r="EU135" s="50"/>
      <c r="EV135" s="50"/>
      <c r="EW135" s="50"/>
      <c r="EX135" s="50"/>
      <c r="EY135" s="50"/>
      <c r="EZ135" s="50"/>
      <c r="FA135" s="50"/>
      <c r="FB135" s="50"/>
      <c r="FC135" s="50"/>
      <c r="FD135" s="50"/>
      <c r="FE135" s="50"/>
      <c r="FF135" s="50"/>
      <c r="FG135" s="50"/>
      <c r="FH135" s="50"/>
      <c r="FI135" s="50"/>
      <c r="FJ135" s="50"/>
      <c r="FK135" s="50"/>
      <c r="FL135" s="50"/>
      <c r="FM135" s="50"/>
      <c r="FN135" s="50"/>
      <c r="FO135" s="50"/>
      <c r="FP135" s="50"/>
      <c r="FQ135" s="50"/>
      <c r="FR135" s="50"/>
      <c r="FS135" s="50"/>
      <c r="FT135" s="50"/>
      <c r="FU135" s="50"/>
      <c r="FV135" s="50"/>
      <c r="FW135" s="50"/>
      <c r="FX135" s="50"/>
      <c r="FY135" s="50"/>
      <c r="FZ135" s="50"/>
      <c r="GA135" s="50"/>
      <c r="GB135" s="50"/>
      <c r="GC135" s="50"/>
      <c r="GD135" s="50"/>
      <c r="GE135" s="50"/>
      <c r="GF135" s="50"/>
      <c r="GG135" s="50"/>
      <c r="GH135" s="50"/>
      <c r="GI135" s="50"/>
      <c r="GJ135" s="50"/>
      <c r="GK135" s="50"/>
      <c r="GL135" s="50"/>
      <c r="GM135" s="50"/>
      <c r="GN135" s="50"/>
      <c r="GO135" s="50"/>
      <c r="GP135" s="50"/>
      <c r="GQ135" s="50"/>
      <c r="GR135" s="50"/>
      <c r="GS135" s="50"/>
      <c r="GT135" s="50"/>
      <c r="GU135" s="50"/>
      <c r="GV135" s="50"/>
      <c r="GW135" s="50"/>
      <c r="GX135" s="50"/>
      <c r="GY135" s="50"/>
      <c r="GZ135" s="50"/>
      <c r="HA135" s="50"/>
      <c r="HB135" s="50"/>
      <c r="HC135" s="50"/>
      <c r="HD135" s="50"/>
      <c r="HE135" s="50"/>
      <c r="HF135" s="50"/>
      <c r="HG135" s="50"/>
      <c r="HH135" s="50"/>
      <c r="HI135" s="50"/>
      <c r="HJ135" s="50"/>
      <c r="HK135" s="50"/>
      <c r="HL135" s="50"/>
      <c r="HM135" s="50"/>
      <c r="HN135" s="50"/>
      <c r="HO135" s="50"/>
      <c r="HP135" s="50"/>
      <c r="HQ135" s="50"/>
      <c r="HR135" s="50"/>
      <c r="HS135" s="50"/>
      <c r="HT135" s="50"/>
      <c r="HU135" s="50"/>
      <c r="HV135" s="50"/>
      <c r="HW135" s="50"/>
      <c r="HX135" s="50"/>
      <c r="HY135" s="50"/>
      <c r="HZ135" s="50"/>
      <c r="IA135" s="50"/>
      <c r="IB135" s="50"/>
      <c r="IC135" s="50"/>
      <c r="ID135" s="50"/>
      <c r="IE135" s="50"/>
      <c r="IF135" s="50"/>
      <c r="IG135" s="50"/>
      <c r="IH135" s="50"/>
      <c r="II135" s="50"/>
      <c r="IJ135" s="50"/>
      <c r="IK135" s="50"/>
      <c r="IL135" s="50"/>
      <c r="IM135" s="50"/>
      <c r="IN135" s="50"/>
      <c r="IO135" s="50"/>
      <c r="IP135" s="50"/>
      <c r="IQ135" s="50"/>
      <c r="IR135" s="50"/>
      <c r="IS135" s="50"/>
      <c r="IT135" s="50"/>
      <c r="IU135" s="50"/>
    </row>
    <row r="136" spans="1:255" x14ac:dyDescent="0.25">
      <c r="A136" s="147" t="s">
        <v>290</v>
      </c>
      <c r="B136" s="20" t="s">
        <v>305</v>
      </c>
      <c r="C136" s="21"/>
      <c r="D136" s="21"/>
      <c r="E136" s="21"/>
      <c r="F136" s="21"/>
      <c r="G136" s="21"/>
      <c r="H136" s="21"/>
      <c r="I136" s="21"/>
      <c r="J136" s="21"/>
      <c r="K136" s="21"/>
      <c r="L136" s="21"/>
      <c r="M136" s="21"/>
      <c r="N136" s="21"/>
      <c r="O136" s="21"/>
      <c r="P136" s="21"/>
      <c r="Q136" s="50"/>
      <c r="R136" s="50"/>
      <c r="S136" s="50"/>
      <c r="T136" s="50"/>
      <c r="U136" s="50"/>
      <c r="V136" s="50"/>
      <c r="W136" s="50"/>
      <c r="X136" s="50"/>
      <c r="Y136" s="50"/>
      <c r="Z136" s="50"/>
      <c r="AA136" s="50"/>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c r="AZ136" s="50"/>
      <c r="BA136" s="50"/>
      <c r="BB136" s="50"/>
      <c r="BC136" s="50"/>
      <c r="BD136" s="50"/>
      <c r="BE136" s="50"/>
      <c r="BF136" s="50"/>
      <c r="BG136" s="50"/>
      <c r="BH136" s="50"/>
      <c r="BI136" s="50"/>
      <c r="BJ136" s="50"/>
      <c r="BK136" s="50"/>
      <c r="BL136" s="50"/>
      <c r="BM136" s="50"/>
      <c r="BN136" s="50"/>
      <c r="BO136" s="50"/>
      <c r="BP136" s="50"/>
      <c r="BQ136" s="50"/>
      <c r="BR136" s="50"/>
      <c r="BS136" s="50"/>
      <c r="BT136" s="50"/>
      <c r="BU136" s="50"/>
      <c r="BV136" s="50"/>
      <c r="BW136" s="50"/>
      <c r="BX136" s="50"/>
      <c r="BY136" s="50"/>
      <c r="BZ136" s="50"/>
      <c r="CA136" s="50"/>
      <c r="CB136" s="50"/>
      <c r="CC136" s="50"/>
      <c r="CD136" s="50"/>
      <c r="CE136" s="50"/>
      <c r="CF136" s="50"/>
      <c r="CG136" s="50"/>
      <c r="CH136" s="50"/>
      <c r="CI136" s="50"/>
      <c r="CJ136" s="50"/>
      <c r="CK136" s="50"/>
      <c r="CL136" s="50"/>
      <c r="CM136" s="50"/>
      <c r="CN136" s="50"/>
      <c r="CO136" s="50"/>
      <c r="CP136" s="50"/>
      <c r="CQ136" s="50"/>
      <c r="CR136" s="50"/>
      <c r="CS136" s="50"/>
      <c r="CT136" s="50"/>
      <c r="CU136" s="50"/>
      <c r="CV136" s="50"/>
      <c r="CW136" s="50"/>
      <c r="CX136" s="50"/>
      <c r="CY136" s="50"/>
      <c r="CZ136" s="50"/>
      <c r="DA136" s="50"/>
      <c r="DB136" s="50"/>
      <c r="DC136" s="50"/>
      <c r="DD136" s="50"/>
      <c r="DE136" s="50"/>
      <c r="DF136" s="50"/>
      <c r="DG136" s="50"/>
      <c r="DH136" s="50"/>
      <c r="DI136" s="50"/>
      <c r="DJ136" s="50"/>
      <c r="DK136" s="50"/>
      <c r="DL136" s="50"/>
      <c r="DM136" s="50"/>
      <c r="DN136" s="50"/>
      <c r="DO136" s="50"/>
      <c r="DP136" s="50"/>
      <c r="DQ136" s="50"/>
      <c r="DR136" s="50"/>
      <c r="DS136" s="50"/>
      <c r="DT136" s="50"/>
      <c r="DU136" s="50"/>
      <c r="DV136" s="50"/>
      <c r="DW136" s="50"/>
      <c r="DX136" s="50"/>
      <c r="DY136" s="50"/>
      <c r="DZ136" s="50"/>
      <c r="EA136" s="50"/>
      <c r="EB136" s="50"/>
      <c r="EC136" s="50"/>
      <c r="ED136" s="50"/>
      <c r="EE136" s="50"/>
      <c r="EF136" s="50"/>
      <c r="EG136" s="50"/>
      <c r="EH136" s="50"/>
      <c r="EI136" s="50"/>
      <c r="EJ136" s="50"/>
      <c r="EK136" s="50"/>
      <c r="EL136" s="50"/>
      <c r="EM136" s="50"/>
      <c r="EN136" s="50"/>
      <c r="EO136" s="50"/>
      <c r="EP136" s="50"/>
      <c r="EQ136" s="50"/>
      <c r="ER136" s="50"/>
      <c r="ES136" s="50"/>
      <c r="ET136" s="50"/>
      <c r="EU136" s="50"/>
      <c r="EV136" s="50"/>
      <c r="EW136" s="50"/>
      <c r="EX136" s="50"/>
      <c r="EY136" s="50"/>
      <c r="EZ136" s="50"/>
      <c r="FA136" s="50"/>
      <c r="FB136" s="50"/>
      <c r="FC136" s="50"/>
      <c r="FD136" s="50"/>
      <c r="FE136" s="50"/>
      <c r="FF136" s="50"/>
      <c r="FG136" s="50"/>
      <c r="FH136" s="50"/>
      <c r="FI136" s="50"/>
      <c r="FJ136" s="50"/>
      <c r="FK136" s="50"/>
      <c r="FL136" s="50"/>
      <c r="FM136" s="50"/>
      <c r="FN136" s="50"/>
      <c r="FO136" s="50"/>
      <c r="FP136" s="50"/>
      <c r="FQ136" s="50"/>
      <c r="FR136" s="50"/>
      <c r="FS136" s="50"/>
      <c r="FT136" s="50"/>
      <c r="FU136" s="50"/>
      <c r="FV136" s="50"/>
      <c r="FW136" s="50"/>
      <c r="FX136" s="50"/>
      <c r="FY136" s="50"/>
      <c r="FZ136" s="50"/>
      <c r="GA136" s="50"/>
      <c r="GB136" s="50"/>
      <c r="GC136" s="50"/>
      <c r="GD136" s="50"/>
      <c r="GE136" s="50"/>
      <c r="GF136" s="50"/>
      <c r="GG136" s="50"/>
      <c r="GH136" s="50"/>
      <c r="GI136" s="50"/>
      <c r="GJ136" s="50"/>
      <c r="GK136" s="50"/>
      <c r="GL136" s="50"/>
      <c r="GM136" s="50"/>
      <c r="GN136" s="50"/>
      <c r="GO136" s="50"/>
      <c r="GP136" s="50"/>
      <c r="GQ136" s="50"/>
      <c r="GR136" s="50"/>
      <c r="GS136" s="50"/>
      <c r="GT136" s="50"/>
      <c r="GU136" s="50"/>
      <c r="GV136" s="50"/>
      <c r="GW136" s="50"/>
      <c r="GX136" s="50"/>
      <c r="GY136" s="50"/>
      <c r="GZ136" s="50"/>
      <c r="HA136" s="50"/>
      <c r="HB136" s="50"/>
      <c r="HC136" s="50"/>
      <c r="HD136" s="50"/>
      <c r="HE136" s="50"/>
      <c r="HF136" s="50"/>
      <c r="HG136" s="50"/>
      <c r="HH136" s="50"/>
      <c r="HI136" s="50"/>
      <c r="HJ136" s="50"/>
      <c r="HK136" s="50"/>
      <c r="HL136" s="50"/>
      <c r="HM136" s="50"/>
      <c r="HN136" s="50"/>
      <c r="HO136" s="50"/>
      <c r="HP136" s="50"/>
      <c r="HQ136" s="50"/>
      <c r="HR136" s="50"/>
      <c r="HS136" s="50"/>
      <c r="HT136" s="50"/>
      <c r="HU136" s="50"/>
      <c r="HV136" s="50"/>
      <c r="HW136" s="50"/>
      <c r="HX136" s="50"/>
      <c r="HY136" s="50"/>
      <c r="HZ136" s="50"/>
      <c r="IA136" s="50"/>
      <c r="IB136" s="50"/>
      <c r="IC136" s="50"/>
      <c r="ID136" s="50"/>
      <c r="IE136" s="50"/>
      <c r="IF136" s="50"/>
      <c r="IG136" s="50"/>
      <c r="IH136" s="50"/>
      <c r="II136" s="50"/>
      <c r="IJ136" s="50"/>
      <c r="IK136" s="50"/>
      <c r="IL136" s="50"/>
      <c r="IM136" s="50"/>
      <c r="IN136" s="50"/>
      <c r="IO136" s="50"/>
      <c r="IP136" s="50"/>
      <c r="IQ136" s="50"/>
      <c r="IR136" s="50"/>
      <c r="IS136" s="50"/>
      <c r="IT136" s="50"/>
      <c r="IU136" s="50"/>
    </row>
    <row r="137" spans="1:255" x14ac:dyDescent="0.25">
      <c r="A137" s="147" t="s">
        <v>291</v>
      </c>
      <c r="B137" s="20" t="s">
        <v>306</v>
      </c>
      <c r="C137" s="56"/>
      <c r="D137" s="56"/>
      <c r="E137" s="56"/>
      <c r="F137" s="56"/>
      <c r="G137" s="56"/>
      <c r="H137" s="56"/>
      <c r="I137" s="56"/>
      <c r="J137" s="56"/>
      <c r="K137" s="56"/>
      <c r="L137" s="56"/>
      <c r="M137" s="56"/>
      <c r="N137" s="56"/>
      <c r="O137" s="56"/>
      <c r="P137" s="56"/>
      <c r="Q137" s="50"/>
      <c r="R137" s="50"/>
      <c r="S137" s="50"/>
      <c r="T137" s="50"/>
      <c r="U137" s="50"/>
      <c r="V137" s="50"/>
      <c r="W137" s="50"/>
      <c r="X137" s="50"/>
      <c r="Y137" s="50"/>
      <c r="Z137" s="50"/>
      <c r="AA137" s="50"/>
      <c r="AB137" s="50"/>
      <c r="AC137" s="50"/>
      <c r="AD137" s="50"/>
      <c r="AE137" s="50"/>
      <c r="AF137" s="50"/>
      <c r="AG137" s="50"/>
      <c r="AH137" s="50"/>
      <c r="AI137" s="50"/>
      <c r="AJ137" s="50"/>
      <c r="AK137" s="50"/>
      <c r="AL137" s="50"/>
      <c r="AM137" s="50"/>
      <c r="AN137" s="50"/>
      <c r="AO137" s="50"/>
      <c r="AP137" s="50"/>
      <c r="AQ137" s="50"/>
      <c r="AR137" s="50"/>
      <c r="AS137" s="50"/>
      <c r="AT137" s="50"/>
      <c r="AU137" s="50"/>
      <c r="AV137" s="50"/>
      <c r="AW137" s="50"/>
      <c r="AX137" s="50"/>
      <c r="AY137" s="50"/>
      <c r="AZ137" s="50"/>
      <c r="BA137" s="50"/>
      <c r="BB137" s="50"/>
      <c r="BC137" s="50"/>
      <c r="BD137" s="50"/>
      <c r="BE137" s="50"/>
      <c r="BF137" s="50"/>
      <c r="BG137" s="50"/>
      <c r="BH137" s="50"/>
      <c r="BI137" s="50"/>
      <c r="BJ137" s="50"/>
      <c r="BK137" s="50"/>
      <c r="BL137" s="50"/>
      <c r="BM137" s="50"/>
      <c r="BN137" s="50"/>
      <c r="BO137" s="50"/>
      <c r="BP137" s="50"/>
      <c r="BQ137" s="50"/>
      <c r="BR137" s="50"/>
      <c r="BS137" s="50"/>
      <c r="BT137" s="50"/>
      <c r="BU137" s="50"/>
      <c r="BV137" s="50"/>
      <c r="BW137" s="50"/>
      <c r="BX137" s="50"/>
      <c r="BY137" s="50"/>
      <c r="BZ137" s="50"/>
      <c r="CA137" s="50"/>
      <c r="CB137" s="50"/>
      <c r="CC137" s="50"/>
      <c r="CD137" s="50"/>
      <c r="CE137" s="50"/>
      <c r="CF137" s="50"/>
      <c r="CG137" s="50"/>
      <c r="CH137" s="50"/>
      <c r="CI137" s="50"/>
      <c r="CJ137" s="50"/>
      <c r="CK137" s="50"/>
      <c r="CL137" s="50"/>
      <c r="CM137" s="50"/>
      <c r="CN137" s="50"/>
      <c r="CO137" s="50"/>
      <c r="CP137" s="50"/>
      <c r="CQ137" s="50"/>
      <c r="CR137" s="50"/>
      <c r="CS137" s="50"/>
      <c r="CT137" s="50"/>
      <c r="CU137" s="50"/>
      <c r="CV137" s="50"/>
      <c r="CW137" s="50"/>
      <c r="CX137" s="50"/>
      <c r="CY137" s="50"/>
      <c r="CZ137" s="50"/>
      <c r="DA137" s="50"/>
      <c r="DB137" s="50"/>
      <c r="DC137" s="50"/>
      <c r="DD137" s="50"/>
      <c r="DE137" s="50"/>
      <c r="DF137" s="50"/>
      <c r="DG137" s="50"/>
      <c r="DH137" s="50"/>
      <c r="DI137" s="50"/>
      <c r="DJ137" s="50"/>
      <c r="DK137" s="50"/>
      <c r="DL137" s="50"/>
      <c r="DM137" s="50"/>
      <c r="DN137" s="50"/>
      <c r="DO137" s="50"/>
      <c r="DP137" s="50"/>
      <c r="DQ137" s="50"/>
      <c r="DR137" s="50"/>
      <c r="DS137" s="50"/>
      <c r="DT137" s="50"/>
      <c r="DU137" s="50"/>
      <c r="DV137" s="50"/>
      <c r="DW137" s="50"/>
      <c r="DX137" s="50"/>
      <c r="DY137" s="50"/>
      <c r="DZ137" s="50"/>
      <c r="EA137" s="50"/>
      <c r="EB137" s="50"/>
      <c r="EC137" s="50"/>
      <c r="ED137" s="50"/>
      <c r="EE137" s="50"/>
      <c r="EF137" s="50"/>
      <c r="EG137" s="50"/>
      <c r="EH137" s="50"/>
      <c r="EI137" s="50"/>
      <c r="EJ137" s="50"/>
      <c r="EK137" s="50"/>
      <c r="EL137" s="50"/>
      <c r="EM137" s="50"/>
      <c r="EN137" s="50"/>
      <c r="EO137" s="50"/>
      <c r="EP137" s="50"/>
      <c r="EQ137" s="50"/>
      <c r="ER137" s="50"/>
      <c r="ES137" s="50"/>
      <c r="ET137" s="50"/>
      <c r="EU137" s="50"/>
      <c r="EV137" s="50"/>
      <c r="EW137" s="50"/>
      <c r="EX137" s="50"/>
      <c r="EY137" s="50"/>
      <c r="EZ137" s="50"/>
      <c r="FA137" s="50"/>
      <c r="FB137" s="50"/>
      <c r="FC137" s="50"/>
      <c r="FD137" s="50"/>
      <c r="FE137" s="50"/>
      <c r="FF137" s="50"/>
      <c r="FG137" s="50"/>
      <c r="FH137" s="50"/>
      <c r="FI137" s="50"/>
      <c r="FJ137" s="50"/>
      <c r="FK137" s="50"/>
      <c r="FL137" s="50"/>
      <c r="FM137" s="50"/>
      <c r="FN137" s="50"/>
      <c r="FO137" s="50"/>
      <c r="FP137" s="50"/>
      <c r="FQ137" s="50"/>
      <c r="FR137" s="50"/>
      <c r="FS137" s="50"/>
      <c r="FT137" s="50"/>
      <c r="FU137" s="50"/>
      <c r="FV137" s="50"/>
      <c r="FW137" s="50"/>
      <c r="FX137" s="50"/>
      <c r="FY137" s="50"/>
      <c r="FZ137" s="50"/>
      <c r="GA137" s="50"/>
      <c r="GB137" s="50"/>
      <c r="GC137" s="50"/>
      <c r="GD137" s="50"/>
      <c r="GE137" s="50"/>
      <c r="GF137" s="50"/>
      <c r="GG137" s="50"/>
      <c r="GH137" s="50"/>
      <c r="GI137" s="50"/>
      <c r="GJ137" s="50"/>
      <c r="GK137" s="50"/>
      <c r="GL137" s="50"/>
      <c r="GM137" s="50"/>
      <c r="GN137" s="50"/>
      <c r="GO137" s="50"/>
      <c r="GP137" s="50"/>
      <c r="GQ137" s="50"/>
      <c r="GR137" s="50"/>
      <c r="GS137" s="50"/>
      <c r="GT137" s="50"/>
      <c r="GU137" s="50"/>
      <c r="GV137" s="50"/>
      <c r="GW137" s="50"/>
      <c r="GX137" s="50"/>
      <c r="GY137" s="50"/>
      <c r="GZ137" s="50"/>
      <c r="HA137" s="50"/>
      <c r="HB137" s="50"/>
      <c r="HC137" s="50"/>
      <c r="HD137" s="50"/>
      <c r="HE137" s="50"/>
      <c r="HF137" s="50"/>
      <c r="HG137" s="50"/>
      <c r="HH137" s="50"/>
      <c r="HI137" s="50"/>
      <c r="HJ137" s="50"/>
      <c r="HK137" s="50"/>
      <c r="HL137" s="50"/>
      <c r="HM137" s="50"/>
      <c r="HN137" s="50"/>
      <c r="HO137" s="50"/>
      <c r="HP137" s="50"/>
      <c r="HQ137" s="50"/>
      <c r="HR137" s="50"/>
      <c r="HS137" s="50"/>
      <c r="HT137" s="50"/>
      <c r="HU137" s="50"/>
      <c r="HV137" s="50"/>
      <c r="HW137" s="50"/>
      <c r="HX137" s="50"/>
      <c r="HY137" s="50"/>
      <c r="HZ137" s="50"/>
      <c r="IA137" s="50"/>
      <c r="IB137" s="50"/>
      <c r="IC137" s="50"/>
      <c r="ID137" s="50"/>
      <c r="IE137" s="50"/>
      <c r="IF137" s="50"/>
      <c r="IG137" s="50"/>
      <c r="IH137" s="50"/>
      <c r="II137" s="50"/>
      <c r="IJ137" s="50"/>
      <c r="IK137" s="50"/>
      <c r="IL137" s="50"/>
      <c r="IM137" s="50"/>
      <c r="IN137" s="50"/>
      <c r="IO137" s="50"/>
      <c r="IP137" s="50"/>
      <c r="IQ137" s="50"/>
      <c r="IR137" s="50"/>
      <c r="IS137" s="50"/>
      <c r="IT137" s="50"/>
      <c r="IU137" s="50"/>
    </row>
    <row r="138" spans="1:255" x14ac:dyDescent="0.25">
      <c r="A138" s="147" t="s">
        <v>292</v>
      </c>
      <c r="B138" s="20" t="s">
        <v>302</v>
      </c>
      <c r="C138" s="21"/>
      <c r="D138" s="21"/>
      <c r="E138" s="21"/>
      <c r="F138" s="21"/>
      <c r="G138" s="21"/>
      <c r="H138" s="21"/>
      <c r="I138" s="21"/>
      <c r="J138" s="21"/>
      <c r="K138" s="21"/>
      <c r="L138" s="21"/>
      <c r="M138" s="21"/>
      <c r="N138" s="21"/>
      <c r="O138" s="21"/>
      <c r="P138" s="21"/>
      <c r="Q138" s="50"/>
      <c r="R138" s="50"/>
      <c r="S138" s="50"/>
      <c r="T138" s="50"/>
      <c r="U138" s="50"/>
      <c r="V138" s="50"/>
      <c r="W138" s="50"/>
      <c r="X138" s="50"/>
      <c r="Y138" s="50"/>
      <c r="Z138" s="50"/>
      <c r="AA138" s="50"/>
      <c r="AB138" s="50"/>
      <c r="AC138" s="50"/>
      <c r="AD138" s="50"/>
      <c r="AE138" s="50"/>
      <c r="AF138" s="50"/>
      <c r="AG138" s="50"/>
      <c r="AH138" s="50"/>
      <c r="AI138" s="50"/>
      <c r="AJ138" s="50"/>
      <c r="AK138" s="50"/>
      <c r="AL138" s="50"/>
      <c r="AM138" s="50"/>
      <c r="AN138" s="50"/>
      <c r="AO138" s="50"/>
      <c r="AP138" s="50"/>
      <c r="AQ138" s="50"/>
      <c r="AR138" s="50"/>
      <c r="AS138" s="50"/>
      <c r="AT138" s="50"/>
      <c r="AU138" s="50"/>
      <c r="AV138" s="50"/>
      <c r="AW138" s="50"/>
      <c r="AX138" s="50"/>
      <c r="AY138" s="50"/>
      <c r="AZ138" s="50"/>
      <c r="BA138" s="50"/>
      <c r="BB138" s="50"/>
      <c r="BC138" s="50"/>
      <c r="BD138" s="50"/>
      <c r="BE138" s="50"/>
      <c r="BF138" s="50"/>
      <c r="BG138" s="50"/>
      <c r="BH138" s="50"/>
      <c r="BI138" s="50"/>
      <c r="BJ138" s="50"/>
      <c r="BK138" s="50"/>
      <c r="BL138" s="50"/>
      <c r="BM138" s="50"/>
      <c r="BN138" s="50"/>
      <c r="BO138" s="50"/>
      <c r="BP138" s="50"/>
      <c r="BQ138" s="50"/>
      <c r="BR138" s="50"/>
      <c r="BS138" s="50"/>
      <c r="BT138" s="50"/>
      <c r="BU138" s="50"/>
      <c r="BV138" s="50"/>
      <c r="BW138" s="50"/>
      <c r="BX138" s="50"/>
      <c r="BY138" s="50"/>
      <c r="BZ138" s="50"/>
      <c r="CA138" s="50"/>
      <c r="CB138" s="50"/>
      <c r="CC138" s="50"/>
      <c r="CD138" s="50"/>
      <c r="CE138" s="50"/>
      <c r="CF138" s="50"/>
      <c r="CG138" s="50"/>
      <c r="CH138" s="50"/>
      <c r="CI138" s="50"/>
      <c r="CJ138" s="50"/>
      <c r="CK138" s="50"/>
      <c r="CL138" s="50"/>
      <c r="CM138" s="50"/>
      <c r="CN138" s="50"/>
      <c r="CO138" s="50"/>
      <c r="CP138" s="50"/>
      <c r="CQ138" s="50"/>
      <c r="CR138" s="50"/>
      <c r="CS138" s="50"/>
      <c r="CT138" s="50"/>
      <c r="CU138" s="50"/>
      <c r="CV138" s="50"/>
      <c r="CW138" s="50"/>
      <c r="CX138" s="50"/>
      <c r="CY138" s="50"/>
      <c r="CZ138" s="50"/>
      <c r="DA138" s="50"/>
      <c r="DB138" s="50"/>
      <c r="DC138" s="50"/>
      <c r="DD138" s="50"/>
      <c r="DE138" s="50"/>
      <c r="DF138" s="50"/>
      <c r="DG138" s="50"/>
      <c r="DH138" s="50"/>
      <c r="DI138" s="50"/>
      <c r="DJ138" s="50"/>
      <c r="DK138" s="50"/>
      <c r="DL138" s="50"/>
      <c r="DM138" s="50"/>
      <c r="DN138" s="50"/>
      <c r="DO138" s="50"/>
      <c r="DP138" s="50"/>
      <c r="DQ138" s="50"/>
      <c r="DR138" s="50"/>
      <c r="DS138" s="50"/>
      <c r="DT138" s="50"/>
      <c r="DU138" s="50"/>
      <c r="DV138" s="50"/>
      <c r="DW138" s="50"/>
      <c r="DX138" s="50"/>
      <c r="DY138" s="50"/>
      <c r="DZ138" s="50"/>
      <c r="EA138" s="50"/>
      <c r="EB138" s="50"/>
      <c r="EC138" s="50"/>
      <c r="ED138" s="50"/>
      <c r="EE138" s="50"/>
      <c r="EF138" s="50"/>
      <c r="EG138" s="50"/>
      <c r="EH138" s="50"/>
      <c r="EI138" s="50"/>
      <c r="EJ138" s="50"/>
      <c r="EK138" s="50"/>
      <c r="EL138" s="50"/>
      <c r="EM138" s="50"/>
      <c r="EN138" s="50"/>
      <c r="EO138" s="50"/>
      <c r="EP138" s="50"/>
      <c r="EQ138" s="50"/>
      <c r="ER138" s="50"/>
      <c r="ES138" s="50"/>
      <c r="ET138" s="50"/>
      <c r="EU138" s="50"/>
      <c r="EV138" s="50"/>
      <c r="EW138" s="50"/>
      <c r="EX138" s="50"/>
      <c r="EY138" s="50"/>
      <c r="EZ138" s="50"/>
      <c r="FA138" s="50"/>
      <c r="FB138" s="50"/>
      <c r="FC138" s="50"/>
      <c r="FD138" s="50"/>
      <c r="FE138" s="50"/>
      <c r="FF138" s="50"/>
      <c r="FG138" s="50"/>
      <c r="FH138" s="50"/>
      <c r="FI138" s="50"/>
      <c r="FJ138" s="50"/>
      <c r="FK138" s="50"/>
      <c r="FL138" s="50"/>
      <c r="FM138" s="50"/>
      <c r="FN138" s="50"/>
      <c r="FO138" s="50"/>
      <c r="FP138" s="50"/>
      <c r="FQ138" s="50"/>
      <c r="FR138" s="50"/>
      <c r="FS138" s="50"/>
      <c r="FT138" s="50"/>
      <c r="FU138" s="50"/>
      <c r="FV138" s="50"/>
      <c r="FW138" s="50"/>
      <c r="FX138" s="50"/>
      <c r="FY138" s="50"/>
      <c r="FZ138" s="50"/>
      <c r="GA138" s="50"/>
      <c r="GB138" s="50"/>
      <c r="GC138" s="50"/>
      <c r="GD138" s="50"/>
      <c r="GE138" s="50"/>
      <c r="GF138" s="50"/>
      <c r="GG138" s="50"/>
      <c r="GH138" s="50"/>
      <c r="GI138" s="50"/>
      <c r="GJ138" s="50"/>
      <c r="GK138" s="50"/>
      <c r="GL138" s="50"/>
      <c r="GM138" s="50"/>
      <c r="GN138" s="50"/>
      <c r="GO138" s="50"/>
      <c r="GP138" s="50"/>
      <c r="GQ138" s="50"/>
      <c r="GR138" s="50"/>
      <c r="GS138" s="50"/>
      <c r="GT138" s="50"/>
      <c r="GU138" s="50"/>
      <c r="GV138" s="50"/>
      <c r="GW138" s="50"/>
      <c r="GX138" s="50"/>
      <c r="GY138" s="50"/>
      <c r="GZ138" s="50"/>
      <c r="HA138" s="50"/>
      <c r="HB138" s="50"/>
      <c r="HC138" s="50"/>
      <c r="HD138" s="50"/>
      <c r="HE138" s="50"/>
      <c r="HF138" s="50"/>
      <c r="HG138" s="50"/>
      <c r="HH138" s="50"/>
      <c r="HI138" s="50"/>
      <c r="HJ138" s="50"/>
      <c r="HK138" s="50"/>
      <c r="HL138" s="50"/>
      <c r="HM138" s="50"/>
      <c r="HN138" s="50"/>
      <c r="HO138" s="50"/>
      <c r="HP138" s="50"/>
      <c r="HQ138" s="50"/>
      <c r="HR138" s="50"/>
      <c r="HS138" s="50"/>
      <c r="HT138" s="50"/>
      <c r="HU138" s="50"/>
      <c r="HV138" s="50"/>
      <c r="HW138" s="50"/>
      <c r="HX138" s="50"/>
      <c r="HY138" s="50"/>
      <c r="HZ138" s="50"/>
      <c r="IA138" s="50"/>
      <c r="IB138" s="50"/>
      <c r="IC138" s="50"/>
      <c r="ID138" s="50"/>
      <c r="IE138" s="50"/>
      <c r="IF138" s="50"/>
      <c r="IG138" s="50"/>
      <c r="IH138" s="50"/>
      <c r="II138" s="50"/>
      <c r="IJ138" s="50"/>
      <c r="IK138" s="50"/>
      <c r="IL138" s="50"/>
      <c r="IM138" s="50"/>
      <c r="IN138" s="50"/>
      <c r="IO138" s="50"/>
      <c r="IP138" s="50"/>
      <c r="IQ138" s="50"/>
      <c r="IR138" s="50"/>
      <c r="IS138" s="50"/>
      <c r="IT138" s="50"/>
      <c r="IU138" s="50"/>
    </row>
    <row r="139" spans="1:255" x14ac:dyDescent="0.25">
      <c r="A139" s="147" t="s">
        <v>293</v>
      </c>
      <c r="B139" s="20" t="s">
        <v>296</v>
      </c>
      <c r="C139" s="21"/>
      <c r="D139" s="21"/>
      <c r="E139" s="21"/>
      <c r="F139" s="21"/>
      <c r="G139" s="21"/>
      <c r="H139" s="21"/>
      <c r="I139" s="21"/>
      <c r="J139" s="21"/>
      <c r="K139" s="21"/>
      <c r="L139" s="21"/>
      <c r="M139" s="21"/>
      <c r="N139" s="21"/>
      <c r="O139" s="21"/>
      <c r="P139" s="21"/>
      <c r="Q139" s="50"/>
      <c r="R139" s="50"/>
      <c r="S139" s="50"/>
      <c r="T139" s="50"/>
      <c r="U139" s="50"/>
      <c r="V139" s="50"/>
      <c r="W139" s="50"/>
      <c r="X139" s="50"/>
      <c r="Y139" s="50"/>
      <c r="Z139" s="50"/>
      <c r="AA139" s="50"/>
      <c r="AB139" s="50"/>
      <c r="AC139" s="50"/>
      <c r="AD139" s="50"/>
      <c r="AE139" s="50"/>
      <c r="AF139" s="50"/>
      <c r="AG139" s="50"/>
      <c r="AH139" s="50"/>
      <c r="AI139" s="50"/>
      <c r="AJ139" s="50"/>
      <c r="AK139" s="50"/>
      <c r="AL139" s="50"/>
      <c r="AM139" s="50"/>
      <c r="AN139" s="50"/>
      <c r="AO139" s="50"/>
      <c r="AP139" s="50"/>
      <c r="AQ139" s="50"/>
      <c r="AR139" s="50"/>
      <c r="AS139" s="50"/>
      <c r="AT139" s="50"/>
      <c r="AU139" s="50"/>
      <c r="AV139" s="50"/>
      <c r="AW139" s="50"/>
      <c r="AX139" s="50"/>
      <c r="AY139" s="50"/>
      <c r="AZ139" s="50"/>
      <c r="BA139" s="50"/>
      <c r="BB139" s="50"/>
      <c r="BC139" s="50"/>
      <c r="BD139" s="50"/>
      <c r="BE139" s="50"/>
      <c r="BF139" s="50"/>
      <c r="BG139" s="50"/>
      <c r="BH139" s="50"/>
      <c r="BI139" s="50"/>
      <c r="BJ139" s="50"/>
      <c r="BK139" s="50"/>
      <c r="BL139" s="50"/>
      <c r="BM139" s="50"/>
      <c r="BN139" s="50"/>
      <c r="BO139" s="50"/>
      <c r="BP139" s="50"/>
      <c r="BQ139" s="50"/>
      <c r="BR139" s="50"/>
      <c r="BS139" s="50"/>
      <c r="BT139" s="50"/>
      <c r="BU139" s="50"/>
      <c r="BV139" s="50"/>
      <c r="BW139" s="50"/>
      <c r="BX139" s="50"/>
      <c r="BY139" s="50"/>
      <c r="BZ139" s="50"/>
      <c r="CA139" s="50"/>
      <c r="CB139" s="50"/>
      <c r="CC139" s="50"/>
      <c r="CD139" s="50"/>
      <c r="CE139" s="50"/>
      <c r="CF139" s="50"/>
      <c r="CG139" s="50"/>
      <c r="CH139" s="50"/>
      <c r="CI139" s="50"/>
      <c r="CJ139" s="50"/>
      <c r="CK139" s="50"/>
      <c r="CL139" s="50"/>
      <c r="CM139" s="50"/>
      <c r="CN139" s="50"/>
      <c r="CO139" s="50"/>
      <c r="CP139" s="50"/>
      <c r="CQ139" s="50"/>
      <c r="CR139" s="50"/>
      <c r="CS139" s="50"/>
      <c r="CT139" s="50"/>
      <c r="CU139" s="50"/>
      <c r="CV139" s="50"/>
      <c r="CW139" s="50"/>
      <c r="CX139" s="50"/>
      <c r="CY139" s="50"/>
      <c r="CZ139" s="50"/>
      <c r="DA139" s="50"/>
      <c r="DB139" s="50"/>
      <c r="DC139" s="50"/>
      <c r="DD139" s="50"/>
      <c r="DE139" s="50"/>
      <c r="DF139" s="50"/>
      <c r="DG139" s="50"/>
      <c r="DH139" s="50"/>
      <c r="DI139" s="50"/>
      <c r="DJ139" s="50"/>
      <c r="DK139" s="50"/>
      <c r="DL139" s="50"/>
      <c r="DM139" s="50"/>
      <c r="DN139" s="50"/>
      <c r="DO139" s="50"/>
      <c r="DP139" s="50"/>
      <c r="DQ139" s="50"/>
      <c r="DR139" s="50"/>
      <c r="DS139" s="50"/>
      <c r="DT139" s="50"/>
      <c r="DU139" s="50"/>
      <c r="DV139" s="50"/>
      <c r="DW139" s="50"/>
      <c r="DX139" s="50"/>
      <c r="DY139" s="50"/>
      <c r="DZ139" s="50"/>
      <c r="EA139" s="50"/>
      <c r="EB139" s="50"/>
      <c r="EC139" s="50"/>
      <c r="ED139" s="50"/>
      <c r="EE139" s="50"/>
      <c r="EF139" s="50"/>
      <c r="EG139" s="50"/>
      <c r="EH139" s="50"/>
      <c r="EI139" s="50"/>
      <c r="EJ139" s="50"/>
      <c r="EK139" s="50"/>
      <c r="EL139" s="50"/>
      <c r="EM139" s="50"/>
      <c r="EN139" s="50"/>
      <c r="EO139" s="50"/>
      <c r="EP139" s="50"/>
      <c r="EQ139" s="50"/>
      <c r="ER139" s="50"/>
      <c r="ES139" s="50"/>
      <c r="ET139" s="50"/>
      <c r="EU139" s="50"/>
      <c r="EV139" s="50"/>
      <c r="EW139" s="50"/>
      <c r="EX139" s="50"/>
      <c r="EY139" s="50"/>
      <c r="EZ139" s="50"/>
      <c r="FA139" s="50"/>
      <c r="FB139" s="50"/>
      <c r="FC139" s="50"/>
      <c r="FD139" s="50"/>
      <c r="FE139" s="50"/>
      <c r="FF139" s="50"/>
      <c r="FG139" s="50"/>
      <c r="FH139" s="50"/>
      <c r="FI139" s="50"/>
      <c r="FJ139" s="50"/>
      <c r="FK139" s="50"/>
      <c r="FL139" s="50"/>
      <c r="FM139" s="50"/>
      <c r="FN139" s="50"/>
      <c r="FO139" s="50"/>
      <c r="FP139" s="50"/>
      <c r="FQ139" s="50"/>
      <c r="FR139" s="50"/>
      <c r="FS139" s="50"/>
      <c r="FT139" s="50"/>
      <c r="FU139" s="50"/>
      <c r="FV139" s="50"/>
      <c r="FW139" s="50"/>
      <c r="FX139" s="50"/>
      <c r="FY139" s="50"/>
      <c r="FZ139" s="50"/>
      <c r="GA139" s="50"/>
      <c r="GB139" s="50"/>
      <c r="GC139" s="50"/>
      <c r="GD139" s="50"/>
      <c r="GE139" s="50"/>
      <c r="GF139" s="50"/>
      <c r="GG139" s="50"/>
      <c r="GH139" s="50"/>
      <c r="GI139" s="50"/>
      <c r="GJ139" s="50"/>
      <c r="GK139" s="50"/>
      <c r="GL139" s="50"/>
      <c r="GM139" s="50"/>
      <c r="GN139" s="50"/>
      <c r="GO139" s="50"/>
      <c r="GP139" s="50"/>
      <c r="GQ139" s="50"/>
      <c r="GR139" s="50"/>
      <c r="GS139" s="50"/>
      <c r="GT139" s="50"/>
      <c r="GU139" s="50"/>
      <c r="GV139" s="50"/>
      <c r="GW139" s="50"/>
      <c r="GX139" s="50"/>
      <c r="GY139" s="50"/>
      <c r="GZ139" s="50"/>
      <c r="HA139" s="50"/>
      <c r="HB139" s="50"/>
      <c r="HC139" s="50"/>
      <c r="HD139" s="50"/>
      <c r="HE139" s="50"/>
      <c r="HF139" s="50"/>
      <c r="HG139" s="50"/>
      <c r="HH139" s="50"/>
      <c r="HI139" s="50"/>
      <c r="HJ139" s="50"/>
      <c r="HK139" s="50"/>
      <c r="HL139" s="50"/>
      <c r="HM139" s="50"/>
      <c r="HN139" s="50"/>
      <c r="HO139" s="50"/>
      <c r="HP139" s="50"/>
      <c r="HQ139" s="50"/>
      <c r="HR139" s="50"/>
      <c r="HS139" s="50"/>
      <c r="HT139" s="50"/>
      <c r="HU139" s="50"/>
      <c r="HV139" s="50"/>
      <c r="HW139" s="50"/>
      <c r="HX139" s="50"/>
      <c r="HY139" s="50"/>
      <c r="HZ139" s="50"/>
      <c r="IA139" s="50"/>
      <c r="IB139" s="50"/>
      <c r="IC139" s="50"/>
      <c r="ID139" s="50"/>
      <c r="IE139" s="50"/>
      <c r="IF139" s="50"/>
      <c r="IG139" s="50"/>
      <c r="IH139" s="50"/>
      <c r="II139" s="50"/>
      <c r="IJ139" s="50"/>
      <c r="IK139" s="50"/>
      <c r="IL139" s="50"/>
      <c r="IM139" s="50"/>
      <c r="IN139" s="50"/>
      <c r="IO139" s="50"/>
      <c r="IP139" s="50"/>
      <c r="IQ139" s="50"/>
      <c r="IR139" s="50"/>
      <c r="IS139" s="50"/>
      <c r="IT139" s="50"/>
      <c r="IU139" s="50"/>
    </row>
    <row r="140" spans="1:255" x14ac:dyDescent="0.25">
      <c r="A140" s="147" t="s">
        <v>294</v>
      </c>
      <c r="B140" s="20" t="s">
        <v>297</v>
      </c>
      <c r="C140" s="21"/>
      <c r="D140" s="21"/>
      <c r="E140" s="21"/>
      <c r="F140" s="21"/>
      <c r="G140" s="21"/>
      <c r="H140" s="21"/>
      <c r="I140" s="21"/>
      <c r="J140" s="21"/>
      <c r="K140" s="21"/>
      <c r="L140" s="21"/>
      <c r="M140" s="21"/>
      <c r="N140" s="21"/>
      <c r="O140" s="21"/>
      <c r="P140" s="21"/>
      <c r="Q140" s="50"/>
      <c r="R140" s="50"/>
      <c r="S140" s="50"/>
      <c r="T140" s="50"/>
      <c r="U140" s="50"/>
      <c r="V140" s="50"/>
      <c r="W140" s="50"/>
      <c r="X140" s="50"/>
      <c r="Y140" s="50"/>
      <c r="Z140" s="50"/>
      <c r="AA140" s="50"/>
      <c r="AB140" s="50"/>
      <c r="AC140" s="50"/>
      <c r="AD140" s="50"/>
      <c r="AE140" s="50"/>
      <c r="AF140" s="50"/>
      <c r="AG140" s="50"/>
      <c r="AH140" s="50"/>
      <c r="AI140" s="50"/>
      <c r="AJ140" s="50"/>
      <c r="AK140" s="50"/>
      <c r="AL140" s="50"/>
      <c r="AM140" s="50"/>
      <c r="AN140" s="50"/>
      <c r="AO140" s="50"/>
      <c r="AP140" s="50"/>
      <c r="AQ140" s="50"/>
      <c r="AR140" s="50"/>
      <c r="AS140" s="50"/>
      <c r="AT140" s="50"/>
      <c r="AU140" s="50"/>
      <c r="AV140" s="50"/>
      <c r="AW140" s="50"/>
      <c r="AX140" s="50"/>
      <c r="AY140" s="50"/>
      <c r="AZ140" s="50"/>
      <c r="BA140" s="50"/>
      <c r="BB140" s="50"/>
      <c r="BC140" s="50"/>
      <c r="BD140" s="50"/>
      <c r="BE140" s="50"/>
      <c r="BF140" s="50"/>
      <c r="BG140" s="50"/>
      <c r="BH140" s="50"/>
      <c r="BI140" s="50"/>
      <c r="BJ140" s="50"/>
      <c r="BK140" s="50"/>
      <c r="BL140" s="50"/>
      <c r="BM140" s="50"/>
      <c r="BN140" s="50"/>
      <c r="BO140" s="50"/>
      <c r="BP140" s="50"/>
      <c r="BQ140" s="50"/>
      <c r="BR140" s="50"/>
      <c r="BS140" s="50"/>
      <c r="BT140" s="50"/>
      <c r="BU140" s="50"/>
      <c r="BV140" s="50"/>
      <c r="BW140" s="50"/>
      <c r="BX140" s="50"/>
      <c r="BY140" s="50"/>
      <c r="BZ140" s="50"/>
      <c r="CA140" s="50"/>
      <c r="CB140" s="50"/>
      <c r="CC140" s="50"/>
      <c r="CD140" s="50"/>
      <c r="CE140" s="50"/>
      <c r="CF140" s="50"/>
      <c r="CG140" s="50"/>
      <c r="CH140" s="50"/>
      <c r="CI140" s="50"/>
      <c r="CJ140" s="50"/>
      <c r="CK140" s="50"/>
      <c r="CL140" s="50"/>
      <c r="CM140" s="50"/>
      <c r="CN140" s="50"/>
      <c r="CO140" s="50"/>
      <c r="CP140" s="50"/>
      <c r="CQ140" s="50"/>
      <c r="CR140" s="50"/>
      <c r="CS140" s="50"/>
      <c r="CT140" s="50"/>
      <c r="CU140" s="50"/>
      <c r="CV140" s="50"/>
      <c r="CW140" s="50"/>
      <c r="CX140" s="50"/>
      <c r="CY140" s="50"/>
      <c r="CZ140" s="50"/>
      <c r="DA140" s="50"/>
      <c r="DB140" s="50"/>
      <c r="DC140" s="50"/>
      <c r="DD140" s="50"/>
      <c r="DE140" s="50"/>
      <c r="DF140" s="50"/>
      <c r="DG140" s="50"/>
      <c r="DH140" s="50"/>
      <c r="DI140" s="50"/>
      <c r="DJ140" s="50"/>
      <c r="DK140" s="50"/>
      <c r="DL140" s="50"/>
      <c r="DM140" s="50"/>
      <c r="DN140" s="50"/>
      <c r="DO140" s="50"/>
      <c r="DP140" s="50"/>
      <c r="DQ140" s="50"/>
      <c r="DR140" s="50"/>
      <c r="DS140" s="50"/>
      <c r="DT140" s="50"/>
      <c r="DU140" s="50"/>
      <c r="DV140" s="50"/>
      <c r="DW140" s="50"/>
      <c r="DX140" s="50"/>
      <c r="DY140" s="50"/>
      <c r="DZ140" s="50"/>
      <c r="EA140" s="50"/>
      <c r="EB140" s="50"/>
      <c r="EC140" s="50"/>
      <c r="ED140" s="50"/>
      <c r="EE140" s="50"/>
      <c r="EF140" s="50"/>
      <c r="EG140" s="50"/>
      <c r="EH140" s="50"/>
      <c r="EI140" s="50"/>
      <c r="EJ140" s="50"/>
      <c r="EK140" s="50"/>
      <c r="EL140" s="50"/>
      <c r="EM140" s="50"/>
      <c r="EN140" s="50"/>
      <c r="EO140" s="50"/>
      <c r="EP140" s="50"/>
      <c r="EQ140" s="50"/>
      <c r="ER140" s="50"/>
      <c r="ES140" s="50"/>
      <c r="ET140" s="50"/>
      <c r="EU140" s="50"/>
      <c r="EV140" s="50"/>
      <c r="EW140" s="50"/>
      <c r="EX140" s="50"/>
      <c r="EY140" s="50"/>
      <c r="EZ140" s="50"/>
      <c r="FA140" s="50"/>
      <c r="FB140" s="50"/>
      <c r="FC140" s="50"/>
      <c r="FD140" s="50"/>
      <c r="FE140" s="50"/>
      <c r="FF140" s="50"/>
      <c r="FG140" s="50"/>
      <c r="FH140" s="50"/>
      <c r="FI140" s="50"/>
      <c r="FJ140" s="50"/>
      <c r="FK140" s="50"/>
      <c r="FL140" s="50"/>
      <c r="FM140" s="50"/>
      <c r="FN140" s="50"/>
      <c r="FO140" s="50"/>
      <c r="FP140" s="50"/>
      <c r="FQ140" s="50"/>
      <c r="FR140" s="50"/>
      <c r="FS140" s="50"/>
      <c r="FT140" s="50"/>
      <c r="FU140" s="50"/>
      <c r="FV140" s="50"/>
      <c r="FW140" s="50"/>
      <c r="FX140" s="50"/>
      <c r="FY140" s="50"/>
      <c r="FZ140" s="50"/>
      <c r="GA140" s="50"/>
      <c r="GB140" s="50"/>
      <c r="GC140" s="50"/>
      <c r="GD140" s="50"/>
      <c r="GE140" s="50"/>
      <c r="GF140" s="50"/>
      <c r="GG140" s="50"/>
      <c r="GH140" s="50"/>
      <c r="GI140" s="50"/>
      <c r="GJ140" s="50"/>
      <c r="GK140" s="50"/>
      <c r="GL140" s="50"/>
      <c r="GM140" s="50"/>
      <c r="GN140" s="50"/>
      <c r="GO140" s="50"/>
      <c r="GP140" s="50"/>
      <c r="GQ140" s="50"/>
      <c r="GR140" s="50"/>
      <c r="GS140" s="50"/>
      <c r="GT140" s="50"/>
      <c r="GU140" s="50"/>
      <c r="GV140" s="50"/>
      <c r="GW140" s="50"/>
      <c r="GX140" s="50"/>
      <c r="GY140" s="50"/>
      <c r="GZ140" s="50"/>
      <c r="HA140" s="50"/>
      <c r="HB140" s="50"/>
      <c r="HC140" s="50"/>
      <c r="HD140" s="50"/>
      <c r="HE140" s="50"/>
      <c r="HF140" s="50"/>
      <c r="HG140" s="50"/>
      <c r="HH140" s="50"/>
      <c r="HI140" s="50"/>
      <c r="HJ140" s="50"/>
      <c r="HK140" s="50"/>
      <c r="HL140" s="50"/>
      <c r="HM140" s="50"/>
      <c r="HN140" s="50"/>
      <c r="HO140" s="50"/>
      <c r="HP140" s="50"/>
      <c r="HQ140" s="50"/>
      <c r="HR140" s="50"/>
      <c r="HS140" s="50"/>
      <c r="HT140" s="50"/>
      <c r="HU140" s="50"/>
      <c r="HV140" s="50"/>
      <c r="HW140" s="50"/>
      <c r="HX140" s="50"/>
      <c r="HY140" s="50"/>
      <c r="HZ140" s="50"/>
      <c r="IA140" s="50"/>
      <c r="IB140" s="50"/>
      <c r="IC140" s="50"/>
      <c r="ID140" s="50"/>
      <c r="IE140" s="50"/>
      <c r="IF140" s="50"/>
      <c r="IG140" s="50"/>
      <c r="IH140" s="50"/>
      <c r="II140" s="50"/>
      <c r="IJ140" s="50"/>
      <c r="IK140" s="50"/>
      <c r="IL140" s="50"/>
      <c r="IM140" s="50"/>
      <c r="IN140" s="50"/>
      <c r="IO140" s="50"/>
      <c r="IP140" s="50"/>
      <c r="IQ140" s="50"/>
      <c r="IR140" s="50"/>
      <c r="IS140" s="50"/>
      <c r="IT140" s="50"/>
      <c r="IU140" s="50"/>
    </row>
    <row r="141" spans="1:255" x14ac:dyDescent="0.25">
      <c r="A141" s="147"/>
      <c r="B141" s="60"/>
      <c r="C141" s="60"/>
      <c r="D141" s="60"/>
      <c r="E141" s="60"/>
      <c r="F141" s="60"/>
      <c r="G141" s="60"/>
      <c r="H141" s="60"/>
      <c r="I141" s="60"/>
      <c r="J141" s="60"/>
      <c r="K141" s="150"/>
      <c r="L141" s="150"/>
      <c r="M141" s="170"/>
    </row>
    <row r="142" spans="1:255" x14ac:dyDescent="0.25">
      <c r="A142" s="147"/>
      <c r="B142" s="60"/>
      <c r="C142" s="456" t="s">
        <v>278</v>
      </c>
      <c r="D142" s="457"/>
      <c r="E142" s="457"/>
      <c r="F142" s="457"/>
      <c r="G142" s="457"/>
      <c r="H142" s="457"/>
      <c r="I142" s="457"/>
      <c r="J142" s="457"/>
      <c r="K142" s="457"/>
      <c r="L142" s="457"/>
      <c r="M142" s="458"/>
    </row>
    <row r="143" spans="1:255" x14ac:dyDescent="0.25">
      <c r="A143" s="147"/>
      <c r="B143" s="60"/>
      <c r="C143" s="459"/>
      <c r="D143" s="460"/>
      <c r="E143" s="460"/>
      <c r="F143" s="460"/>
      <c r="G143" s="460"/>
      <c r="H143" s="460"/>
      <c r="I143" s="460"/>
      <c r="J143" s="460"/>
      <c r="K143" s="460"/>
      <c r="L143" s="460"/>
      <c r="M143" s="461"/>
    </row>
    <row r="144" spans="1:255" x14ac:dyDescent="0.25">
      <c r="A144" s="147"/>
      <c r="B144" s="60"/>
      <c r="C144" s="462"/>
      <c r="D144" s="463"/>
      <c r="E144" s="463"/>
      <c r="F144" s="463"/>
      <c r="G144" s="463"/>
      <c r="H144" s="463"/>
      <c r="I144" s="463"/>
      <c r="J144" s="463"/>
      <c r="K144" s="463"/>
      <c r="L144" s="463"/>
      <c r="M144" s="464"/>
    </row>
    <row r="145" spans="1:17" x14ac:dyDescent="0.25">
      <c r="A145" s="147"/>
      <c r="B145" s="60"/>
      <c r="C145" s="60"/>
      <c r="D145" s="60"/>
      <c r="E145" s="60"/>
      <c r="F145" s="60"/>
      <c r="G145" s="60"/>
      <c r="H145" s="60"/>
      <c r="I145" s="60"/>
      <c r="J145" s="60"/>
      <c r="K145" s="150"/>
      <c r="L145" s="150"/>
      <c r="M145" s="170"/>
    </row>
    <row r="146" spans="1:17" x14ac:dyDescent="0.25">
      <c r="A146" s="147"/>
      <c r="B146" s="60"/>
      <c r="C146" s="60"/>
      <c r="D146" s="60"/>
      <c r="E146" s="60"/>
      <c r="F146" s="465" t="s">
        <v>277</v>
      </c>
      <c r="G146" s="465"/>
      <c r="H146" s="465"/>
      <c r="I146" s="60"/>
      <c r="J146" s="60"/>
      <c r="K146" s="150"/>
      <c r="L146" s="150"/>
      <c r="M146" s="170"/>
    </row>
    <row r="147" spans="1:17" x14ac:dyDescent="0.25">
      <c r="A147" s="147"/>
      <c r="B147" s="60"/>
      <c r="C147" s="60"/>
      <c r="D147" s="60"/>
      <c r="E147" s="60"/>
      <c r="F147" s="60"/>
      <c r="G147" s="60"/>
      <c r="H147" s="60"/>
      <c r="I147" s="60"/>
      <c r="J147" s="60"/>
      <c r="K147" s="150"/>
      <c r="L147" s="150"/>
      <c r="M147" s="170"/>
    </row>
    <row r="148" spans="1:17" hidden="1" x14ac:dyDescent="0.25">
      <c r="A148" s="147"/>
      <c r="B148" s="60"/>
      <c r="C148" s="60"/>
      <c r="D148" s="60"/>
      <c r="E148" s="60"/>
      <c r="F148" s="60"/>
      <c r="G148" s="60"/>
      <c r="H148" s="60"/>
      <c r="I148" s="60"/>
      <c r="J148" s="60"/>
      <c r="K148" s="150"/>
      <c r="L148" s="150"/>
      <c r="M148" s="170"/>
    </row>
    <row r="149" spans="1:17" hidden="1" x14ac:dyDescent="0.25">
      <c r="B149" s="1"/>
      <c r="C149" s="474">
        <f>valutils_main</f>
        <v>1</v>
      </c>
      <c r="D149" s="475"/>
      <c r="E149" s="50"/>
      <c r="F149" s="50"/>
      <c r="G149" s="50"/>
      <c r="H149" s="50"/>
      <c r="I149" s="50"/>
      <c r="J149" s="50"/>
      <c r="K149" s="50"/>
      <c r="L149" s="50"/>
      <c r="M149" s="50"/>
      <c r="N149" s="172"/>
      <c r="O149" s="127"/>
      <c r="P149" s="128"/>
    </row>
    <row r="150" spans="1:17" hidden="1" x14ac:dyDescent="0.25">
      <c r="B150" s="51" t="s">
        <v>253</v>
      </c>
      <c r="C150" s="52" t="s">
        <v>164</v>
      </c>
      <c r="D150" s="53" t="s">
        <v>45</v>
      </c>
      <c r="E150" s="50"/>
      <c r="F150" s="50"/>
      <c r="G150" s="50"/>
      <c r="H150" s="50"/>
      <c r="I150" s="50"/>
      <c r="J150" s="50"/>
      <c r="K150" s="50"/>
      <c r="L150" s="50"/>
      <c r="M150" s="50"/>
      <c r="N150" s="172"/>
      <c r="O150" s="127"/>
      <c r="P150" s="128"/>
      <c r="Q150" s="128"/>
    </row>
    <row r="151" spans="1:17" hidden="1" x14ac:dyDescent="0.25">
      <c r="A151" s="147"/>
      <c r="B151" s="81" t="s">
        <v>21</v>
      </c>
      <c r="C151" s="82">
        <f ca="1">C191</f>
        <v>0.12</v>
      </c>
      <c r="D151" s="83">
        <f ca="1">D191</f>
        <v>0.1</v>
      </c>
      <c r="E151" s="60"/>
      <c r="F151" s="60"/>
      <c r="G151" s="60"/>
      <c r="H151" s="60"/>
      <c r="I151" s="60"/>
      <c r="J151" s="60"/>
      <c r="K151" s="150"/>
      <c r="L151" s="150"/>
      <c r="M151" s="170"/>
    </row>
    <row r="152" spans="1:17" hidden="1" x14ac:dyDescent="0.25">
      <c r="A152" s="147"/>
      <c r="B152" s="84" t="s">
        <v>128</v>
      </c>
      <c r="C152" s="85">
        <f ca="1">IF(AND($C168&lt;dt_threshold/2,sens_switch_de=1),$C168-dt_threshold,OFFSET(F7,0,($I$168-1)*3))+(shift_index=2)*sens_shift</f>
        <v>0.5</v>
      </c>
      <c r="D152" s="86">
        <f ca="1">IF(AND($C168&lt;dt_threshold/2,sens_switch_de=2),$C168-dt_threshold,OFFSET(G7,0,($I$168-1)*3))+(shift_index=9)*sens_shift</f>
        <v>0.1</v>
      </c>
      <c r="E152" s="60"/>
      <c r="F152" s="60"/>
      <c r="G152" s="60"/>
      <c r="H152" s="60"/>
      <c r="I152" s="60"/>
      <c r="J152" s="60"/>
      <c r="K152" s="150"/>
      <c r="L152" s="150"/>
      <c r="M152" s="170"/>
    </row>
    <row r="153" spans="1:17" hidden="1" x14ac:dyDescent="0.25">
      <c r="A153" s="147"/>
      <c r="B153" s="84" t="s">
        <v>129</v>
      </c>
      <c r="C153" s="85">
        <f ca="1">IF(AND($E170&lt;dt_threshold/2,sens_switch_de=1),$E170-dt_threshold,OFFSET(F8,0,($I$168-1)*3))+(shift_index=3)*sens_shift</f>
        <v>0.02</v>
      </c>
      <c r="D153" s="86">
        <f ca="1">IF(AND($E170&lt;dt_threshold/2,sens_switch_de=2),$E170-dt_threshold,OFFSET(G8,0,($I$168-1)*3))+(shift_index=10)*sens_shift</f>
        <v>0.02</v>
      </c>
      <c r="E153" s="60"/>
      <c r="F153" s="60"/>
      <c r="G153" s="60"/>
      <c r="H153" s="60"/>
      <c r="I153" s="60"/>
      <c r="J153" s="60"/>
      <c r="K153" s="150"/>
      <c r="L153" s="150"/>
      <c r="M153" s="170"/>
    </row>
    <row r="154" spans="1:17" hidden="1" x14ac:dyDescent="0.25">
      <c r="A154" s="147"/>
      <c r="B154" s="84" t="s">
        <v>20</v>
      </c>
      <c r="C154" s="85">
        <f ca="1">IF(AND($C170&lt;dt_threshold/2,sens_switch_de=1),$C170-dt_threshold,OFFSET(F9,0,($I$168-1)*3))+(shift_index=4)*sens_shift</f>
        <v>0.3</v>
      </c>
      <c r="D154" s="86">
        <f ca="1">IF(AND($C170&lt;dt_threshold/2,sens_switch_de=2),$C170-dt_threshold,OFFSET(G9,0,($I$168-1)*3))+(shift_index=11)*sens_shift</f>
        <v>0.3</v>
      </c>
      <c r="E154" s="60"/>
      <c r="F154" s="60"/>
      <c r="G154" s="60"/>
      <c r="H154" s="60"/>
      <c r="I154" s="60"/>
      <c r="J154" s="60"/>
      <c r="K154" s="150"/>
      <c r="L154" s="150"/>
      <c r="M154" s="170"/>
    </row>
    <row r="155" spans="1:17" hidden="1" x14ac:dyDescent="0.25">
      <c r="A155" s="147"/>
      <c r="B155" s="84" t="s">
        <v>81</v>
      </c>
      <c r="C155" s="85">
        <f ca="1">IF(AND($E168&lt;dt_threshold/2,sens_switch_de=1),$E168-dt_threshold,OFFSET(F10,0,($I$168-1)*3))+(shift_index=5)*sens_shift</f>
        <v>0.04</v>
      </c>
      <c r="D155" s="86">
        <f ca="1">IF(AND($E168&lt;dt_threshold/2,sens_switch_de=2),$E168-dt_threshold,OFFSET(G10,0,($I$168-1)*3))+(shift_index=12)*sens_shift</f>
        <v>0.04</v>
      </c>
      <c r="E155" s="60"/>
      <c r="F155" s="60"/>
      <c r="G155" s="60"/>
      <c r="H155" s="60"/>
      <c r="I155" s="60"/>
      <c r="J155" s="60"/>
      <c r="K155" s="150"/>
      <c r="L155" s="150"/>
      <c r="M155" s="170"/>
    </row>
    <row r="156" spans="1:17" hidden="1" x14ac:dyDescent="0.25">
      <c r="A156" s="147"/>
      <c r="B156" s="84" t="s">
        <v>188</v>
      </c>
      <c r="C156" s="85">
        <f ca="1">IF(AND($E169&lt;dt_threshold/2,sens_switch_de=1),$E169-dt_threshold,OFFSET(F11,0,($I$168-1)*3))+(shift_index=6)*sens_shift</f>
        <v>7.0000000000000007E-2</v>
      </c>
      <c r="D156" s="86">
        <f ca="1">IF(AND($E169&lt;dt_threshold/2,sens_switch_de=2),$E169-dt_threshold,OFFSET(G11,0,($I$168-1)*3))+(shift_index=13)*sens_shift</f>
        <v>7.0000000000000007E-2</v>
      </c>
      <c r="E156" s="60"/>
      <c r="F156" s="60"/>
      <c r="G156" s="60"/>
      <c r="H156" s="60"/>
      <c r="I156" s="60"/>
      <c r="J156" s="60"/>
      <c r="K156" s="150"/>
      <c r="L156" s="150"/>
      <c r="M156" s="170"/>
    </row>
    <row r="157" spans="1:17" hidden="1" x14ac:dyDescent="0.25">
      <c r="A157" s="147"/>
      <c r="B157" s="91" t="s">
        <v>82</v>
      </c>
      <c r="C157" s="92">
        <f ca="1">IF(AND($C169&lt;dt_threshold/2,sens_switch_de=1),$C169-dt_threshold,OFFSET(F12,0,($I$168-1)*3))+(shift_index=7)*sens_shift</f>
        <v>0.05</v>
      </c>
      <c r="D157" s="93">
        <f ca="1">IF(AND($C169&lt;dt_threshold/2,sens_switch_de=2),$C169-dt_threshold,OFFSET(G12,0,($I$168-1)*3))+(shift_index=14)*sens_shift</f>
        <v>0.02</v>
      </c>
      <c r="E157" s="60"/>
      <c r="F157" s="60"/>
      <c r="G157" s="60"/>
      <c r="H157" s="60"/>
      <c r="I157" s="60"/>
      <c r="J157" s="60"/>
      <c r="K157" s="150"/>
      <c r="L157" s="150"/>
      <c r="M157" s="170"/>
    </row>
    <row r="158" spans="1:17" hidden="1" x14ac:dyDescent="0.25">
      <c r="A158" s="147"/>
      <c r="B158" s="476" t="s">
        <v>249</v>
      </c>
      <c r="C158" s="447" t="s">
        <v>248</v>
      </c>
      <c r="D158" s="448"/>
      <c r="E158" s="60"/>
      <c r="F158" s="60"/>
      <c r="G158" s="60"/>
      <c r="H158" s="60"/>
      <c r="I158" s="60"/>
      <c r="J158" s="60"/>
      <c r="K158" s="150"/>
      <c r="L158" s="150"/>
      <c r="M158" s="170"/>
    </row>
    <row r="159" spans="1:17" ht="25" hidden="1" x14ac:dyDescent="0.25">
      <c r="A159" s="147"/>
      <c r="B159" s="477"/>
      <c r="C159" s="94" t="s">
        <v>26</v>
      </c>
      <c r="D159" s="95" t="s">
        <v>178</v>
      </c>
      <c r="E159" s="60"/>
      <c r="F159" s="60"/>
      <c r="G159" s="60"/>
      <c r="H159" s="60"/>
      <c r="I159" s="60"/>
      <c r="J159" s="60"/>
      <c r="K159" s="150"/>
      <c r="L159" s="150"/>
      <c r="M159" s="170"/>
    </row>
    <row r="160" spans="1:17" hidden="1" x14ac:dyDescent="0.25">
      <c r="A160" s="147"/>
      <c r="B160" s="477"/>
      <c r="C160" s="101">
        <f ca="1">OFFSET(F15,0,($I$168-1)*3)</f>
        <v>7.5</v>
      </c>
      <c r="D160" s="86">
        <f ca="1">OFFSET(G15,0,($I$168-1)*3)+(shift_index=15)*sens_shift</f>
        <v>5.0000000000000001E-3</v>
      </c>
      <c r="E160" s="60"/>
      <c r="F160" s="60"/>
      <c r="G160" s="60"/>
      <c r="H160" s="60"/>
      <c r="I160" s="60"/>
      <c r="J160" s="60"/>
      <c r="K160" s="150"/>
      <c r="L160" s="150"/>
      <c r="M160" s="170"/>
    </row>
    <row r="161" spans="1:14" hidden="1" x14ac:dyDescent="0.25">
      <c r="A161" s="147"/>
      <c r="B161" s="477"/>
      <c r="C161" s="106">
        <f ca="1">OFFSET(F16,0,($I$168-1)*3)</f>
        <v>6</v>
      </c>
      <c r="D161" s="86">
        <f ca="1">OFFSET(G16,0,($I$168-1)*3)+(shift_index=16)*sens_shift</f>
        <v>0.01</v>
      </c>
      <c r="E161" s="60"/>
      <c r="F161" s="60"/>
      <c r="G161" s="60"/>
      <c r="H161" s="60"/>
      <c r="I161" s="60"/>
      <c r="J161" s="60"/>
      <c r="K161" s="150"/>
      <c r="L161" s="150"/>
      <c r="M161" s="170"/>
    </row>
    <row r="162" spans="1:14" hidden="1" x14ac:dyDescent="0.25">
      <c r="A162" s="147"/>
      <c r="B162" s="477"/>
      <c r="C162" s="106">
        <f ca="1">OFFSET(F17,0,($I$168-1)*3)</f>
        <v>4.5</v>
      </c>
      <c r="D162" s="86">
        <f ca="1">OFFSET(G17,0,($I$168-1)*3)+(shift_index=17)*sens_shift</f>
        <v>0.02</v>
      </c>
      <c r="E162" s="60"/>
      <c r="F162" s="60"/>
      <c r="G162" s="60"/>
      <c r="H162" s="60"/>
      <c r="I162" s="60"/>
      <c r="J162" s="60"/>
      <c r="K162" s="150"/>
      <c r="L162" s="150"/>
      <c r="M162" s="170"/>
    </row>
    <row r="163" spans="1:14" hidden="1" x14ac:dyDescent="0.25">
      <c r="A163" s="147"/>
      <c r="B163" s="477"/>
      <c r="C163" s="106">
        <f ca="1">OFFSET(F18,0,($I$168-1)*3)</f>
        <v>3</v>
      </c>
      <c r="D163" s="86">
        <f ca="1">OFFSET(G18,0,($I$168-1)*3)+(shift_index=18)*sens_shift</f>
        <v>0.04</v>
      </c>
      <c r="E163" s="60"/>
      <c r="F163" s="60"/>
      <c r="G163" s="60"/>
      <c r="H163" s="60"/>
      <c r="I163" s="60"/>
      <c r="J163" s="60"/>
      <c r="K163" s="150"/>
      <c r="L163" s="150"/>
      <c r="M163" s="170"/>
    </row>
    <row r="164" spans="1:14" hidden="1" x14ac:dyDescent="0.25">
      <c r="A164" s="147"/>
      <c r="B164" s="478"/>
      <c r="C164" s="112">
        <f ca="1">OFFSET(F19,0,($I$168-1)*3)</f>
        <v>1.5</v>
      </c>
      <c r="D164" s="93">
        <f ca="1">OFFSET(G19,0,($I$168-1)*3)+(shift_index=19)*sens_shift</f>
        <v>7.0000000000000007E-2</v>
      </c>
      <c r="E164" s="60"/>
      <c r="F164" s="60"/>
      <c r="G164" s="60"/>
      <c r="H164" s="60"/>
      <c r="I164" s="60"/>
      <c r="J164" s="60"/>
      <c r="K164" s="150"/>
      <c r="L164" s="150"/>
      <c r="M164" s="170"/>
    </row>
    <row r="165" spans="1:14" hidden="1" x14ac:dyDescent="0.25">
      <c r="A165" s="147"/>
      <c r="B165" s="60"/>
      <c r="C165" s="60"/>
      <c r="D165" s="60"/>
      <c r="E165" s="60"/>
      <c r="F165" s="60"/>
      <c r="G165" s="60"/>
      <c r="H165" s="60"/>
      <c r="I165" s="60"/>
      <c r="J165" s="60"/>
      <c r="K165" s="150"/>
      <c r="L165" s="150"/>
      <c r="M165" s="170"/>
    </row>
    <row r="166" spans="1:14" ht="13" hidden="1" thickBot="1" x14ac:dyDescent="0.3">
      <c r="A166" s="147"/>
      <c r="B166" s="60"/>
      <c r="C166" s="60"/>
      <c r="D166" s="60"/>
      <c r="E166" s="60"/>
      <c r="F166" s="60"/>
      <c r="G166" s="60"/>
      <c r="H166" s="60"/>
      <c r="I166" s="60"/>
      <c r="J166" s="60"/>
      <c r="K166" s="150"/>
      <c r="L166" s="150"/>
      <c r="M166" s="170"/>
    </row>
    <row r="167" spans="1:14" s="80" customFormat="1" ht="13" hidden="1" x14ac:dyDescent="0.3">
      <c r="A167" s="173"/>
      <c r="B167" s="174" t="s">
        <v>275</v>
      </c>
      <c r="C167" s="175"/>
      <c r="D167" s="176"/>
      <c r="E167" s="176"/>
      <c r="F167" s="176"/>
      <c r="G167" s="176"/>
      <c r="H167" s="176"/>
      <c r="I167" s="176"/>
      <c r="J167" s="176"/>
      <c r="K167" s="176"/>
      <c r="L167" s="177"/>
      <c r="M167" s="178"/>
    </row>
    <row r="168" spans="1:14" hidden="1" x14ac:dyDescent="0.25">
      <c r="B168" s="117" t="s">
        <v>107</v>
      </c>
      <c r="C168" s="179">
        <f>IF(G171=1,G172,2%)</f>
        <v>0.02</v>
      </c>
      <c r="D168" s="60" t="s">
        <v>127</v>
      </c>
      <c r="E168" s="179">
        <f>IF(G171=4,G172,2%)</f>
        <v>0.02</v>
      </c>
      <c r="F168" s="60"/>
      <c r="G168" s="60"/>
      <c r="H168" s="60" t="s">
        <v>269</v>
      </c>
      <c r="I168" s="136">
        <f>MAX(C25,1)</f>
        <v>1</v>
      </c>
      <c r="J168" s="60" t="s">
        <v>270</v>
      </c>
      <c r="K168" s="60"/>
      <c r="L168" s="180"/>
      <c r="N168" s="24" t="s">
        <v>48</v>
      </c>
    </row>
    <row r="169" spans="1:14" hidden="1" x14ac:dyDescent="0.25">
      <c r="B169" s="117" t="s">
        <v>124</v>
      </c>
      <c r="C169" s="179">
        <f>IF(G171=3,G172,2%)</f>
        <v>0.02</v>
      </c>
      <c r="D169" s="60" t="s">
        <v>189</v>
      </c>
      <c r="E169" s="179">
        <f>IF(G171=7,G172,2%)</f>
        <v>0.02</v>
      </c>
      <c r="F169" s="60"/>
      <c r="G169" s="60"/>
      <c r="H169" s="60"/>
      <c r="I169" s="60"/>
      <c r="J169" s="60"/>
      <c r="K169" s="60"/>
      <c r="L169" s="180"/>
      <c r="N169" s="24" t="s">
        <v>132</v>
      </c>
    </row>
    <row r="170" spans="1:14" hidden="1" x14ac:dyDescent="0.25">
      <c r="B170" s="117" t="s">
        <v>125</v>
      </c>
      <c r="C170" s="179">
        <f>IF(G171=5,G172,2%)</f>
        <v>0.02</v>
      </c>
      <c r="D170" s="60" t="s">
        <v>130</v>
      </c>
      <c r="E170" s="179">
        <f>IF(G171=2,G172,2%)</f>
        <v>0.02</v>
      </c>
      <c r="F170" s="60"/>
      <c r="G170" s="60"/>
      <c r="H170" s="60"/>
      <c r="I170" s="60"/>
      <c r="J170" s="181"/>
      <c r="K170" s="160"/>
      <c r="L170" s="182"/>
      <c r="N170" s="24" t="s">
        <v>51</v>
      </c>
    </row>
    <row r="171" spans="1:14" hidden="1" x14ac:dyDescent="0.25">
      <c r="B171" s="117" t="s">
        <v>126</v>
      </c>
      <c r="C171" s="183">
        <f>IF(G171=6,G172,2%)</f>
        <v>0.02</v>
      </c>
      <c r="D171" s="60"/>
      <c r="E171" s="60"/>
      <c r="F171" s="60"/>
      <c r="G171" s="184">
        <f>'Assumptions vary'!C185</f>
        <v>1</v>
      </c>
      <c r="H171" s="60" t="s">
        <v>309</v>
      </c>
      <c r="I171" s="60"/>
      <c r="J171" s="181"/>
      <c r="K171" s="160"/>
      <c r="L171" s="182"/>
      <c r="N171" s="24" t="s">
        <v>50</v>
      </c>
    </row>
    <row r="172" spans="1:14" ht="13.5" hidden="1" customHeight="1" x14ac:dyDescent="0.25">
      <c r="B172" s="117" t="s">
        <v>120</v>
      </c>
      <c r="C172" s="60">
        <v>0</v>
      </c>
      <c r="D172" s="60"/>
      <c r="E172" s="60"/>
      <c r="F172" s="60"/>
      <c r="G172" s="185">
        <v>0.02</v>
      </c>
      <c r="H172" s="60" t="s">
        <v>310</v>
      </c>
      <c r="I172" s="60"/>
      <c r="J172" s="60"/>
      <c r="K172" s="60"/>
      <c r="L172" s="180"/>
      <c r="N172" s="24" t="s">
        <v>58</v>
      </c>
    </row>
    <row r="173" spans="1:14" hidden="1" x14ac:dyDescent="0.25">
      <c r="B173" s="117" t="s">
        <v>330</v>
      </c>
      <c r="C173" s="60">
        <v>0</v>
      </c>
      <c r="D173" s="60"/>
      <c r="E173" s="60"/>
      <c r="F173" s="60"/>
      <c r="G173" s="60"/>
      <c r="H173" s="60"/>
      <c r="I173" s="60"/>
      <c r="J173" s="60"/>
      <c r="K173" s="60"/>
      <c r="L173" s="180"/>
      <c r="N173" s="24" t="s">
        <v>47</v>
      </c>
    </row>
    <row r="174" spans="1:14" hidden="1" x14ac:dyDescent="0.25">
      <c r="B174" s="117" t="s">
        <v>143</v>
      </c>
      <c r="C174" s="60">
        <v>1</v>
      </c>
      <c r="D174" s="60">
        <v>2</v>
      </c>
      <c r="E174" s="60"/>
      <c r="F174" s="161" t="s">
        <v>334</v>
      </c>
      <c r="G174" s="60"/>
      <c r="H174" s="60"/>
      <c r="I174" s="60"/>
      <c r="J174" s="60"/>
      <c r="K174" s="60"/>
      <c r="L174" s="180"/>
      <c r="N174" s="31" t="s">
        <v>187</v>
      </c>
    </row>
    <row r="175" spans="1:14" ht="13" hidden="1" x14ac:dyDescent="0.3">
      <c r="B175" s="186" t="s">
        <v>137</v>
      </c>
      <c r="C175" s="60"/>
      <c r="D175" s="60"/>
      <c r="E175" s="60"/>
      <c r="F175" s="60"/>
      <c r="G175" s="187"/>
      <c r="H175" s="187"/>
      <c r="I175" s="60"/>
      <c r="J175" s="60"/>
      <c r="K175" s="60"/>
      <c r="L175" s="180"/>
    </row>
    <row r="176" spans="1:14" hidden="1" x14ac:dyDescent="0.25">
      <c r="B176" s="188" t="s">
        <v>138</v>
      </c>
      <c r="C176" s="60" t="b">
        <f>AND($C171&lt;dt_threshold/2,sens_switch_de=C$174)</f>
        <v>0</v>
      </c>
      <c r="D176" s="60" t="b">
        <f>AND($C171&lt;dt_threshold/2,sens_switch_de=D$174)</f>
        <v>0</v>
      </c>
      <c r="E176" s="60"/>
      <c r="F176" s="60"/>
      <c r="G176" s="60"/>
      <c r="H176" s="60"/>
      <c r="I176" s="60"/>
      <c r="J176" s="60"/>
      <c r="K176" s="60"/>
      <c r="L176" s="180"/>
    </row>
    <row r="177" spans="1:13" ht="13" hidden="1" x14ac:dyDescent="0.3">
      <c r="B177" s="189" t="s">
        <v>142</v>
      </c>
      <c r="C177" s="141">
        <f>($C171-dt_threshold)*C176</f>
        <v>0</v>
      </c>
      <c r="D177" s="141">
        <f>($C171-dt_threshold)*D176</f>
        <v>0</v>
      </c>
      <c r="E177" s="60"/>
      <c r="F177" s="60"/>
      <c r="G177" s="60"/>
      <c r="H177" s="60"/>
      <c r="I177" s="60"/>
      <c r="J177" s="60"/>
      <c r="K177" s="60"/>
      <c r="L177" s="180"/>
    </row>
    <row r="178" spans="1:13" hidden="1" x14ac:dyDescent="0.25">
      <c r="B178" s="188" t="s">
        <v>139</v>
      </c>
      <c r="C178" s="60" t="b">
        <f>AND($C170&lt;dt_threshold/2,sens_switch_de=C$174)</f>
        <v>0</v>
      </c>
      <c r="D178" s="60" t="b">
        <f>AND($C170&lt;dt_threshold/2,sens_switch_de=D$174)</f>
        <v>0</v>
      </c>
      <c r="E178" s="60"/>
      <c r="F178" s="60"/>
      <c r="G178" s="60"/>
      <c r="H178" s="60"/>
      <c r="I178" s="60"/>
      <c r="J178" s="60"/>
      <c r="K178" s="60"/>
      <c r="L178" s="180"/>
    </row>
    <row r="179" spans="1:13" ht="13" hidden="1" x14ac:dyDescent="0.3">
      <c r="B179" s="189" t="s">
        <v>142</v>
      </c>
      <c r="C179" s="141">
        <f ca="1">OFFSET(F6,0,($I$168-1)*3)/(1-OFFSET(F9,0,($I$168-1)*3))*(1-C9)*C178</f>
        <v>0</v>
      </c>
      <c r="D179" s="141">
        <f ca="1">OFFSET(G6,0,($I$168-1)*3)/(1-OFFSET(G9,0,($I$168-1)*3))*(1-D9)*D178</f>
        <v>0</v>
      </c>
      <c r="E179" s="60"/>
      <c r="F179" s="60"/>
      <c r="G179" s="60"/>
      <c r="H179" s="60"/>
      <c r="I179" s="60"/>
      <c r="J179" s="60"/>
      <c r="K179" s="60"/>
      <c r="L179" s="180"/>
    </row>
    <row r="180" spans="1:13" hidden="1" x14ac:dyDescent="0.25">
      <c r="B180" s="188" t="s">
        <v>140</v>
      </c>
      <c r="C180" s="60" t="b">
        <f>AND($E170&lt;dt_threshold/2,sens_switch_de=C$174)</f>
        <v>0</v>
      </c>
      <c r="D180" s="60" t="b">
        <f>AND($E170&lt;dt_threshold/2,sens_switch_de=D$174)</f>
        <v>0</v>
      </c>
      <c r="E180" s="60"/>
      <c r="F180" s="60"/>
      <c r="G180" s="60"/>
      <c r="H180" s="60"/>
      <c r="I180" s="60"/>
      <c r="J180" s="60"/>
      <c r="K180" s="60"/>
      <c r="L180" s="180"/>
    </row>
    <row r="181" spans="1:13" ht="13" hidden="1" x14ac:dyDescent="0.3">
      <c r="B181" s="189" t="s">
        <v>142</v>
      </c>
      <c r="C181" s="141">
        <f ca="1">(OFFSET(F6,0,($I$168-1)*3)+(OFFSET(F8,0,($I$168-1)*3)-C8)*(1-OFFSET(F9,0,($I$168-1)*3)))*C180</f>
        <v>0</v>
      </c>
      <c r="D181" s="141">
        <f ca="1">(OFFSET(G6,0,($I$168-1)*3)+(OFFSET(G8,0,($I$168-1)*3)-D8)*(1-OFFSET(G9,0,($I$168-1)*3)))*D180</f>
        <v>0</v>
      </c>
      <c r="E181" s="60"/>
      <c r="F181" s="60"/>
      <c r="G181" s="60"/>
      <c r="H181" s="60"/>
      <c r="I181" s="60"/>
      <c r="J181" s="60"/>
      <c r="K181" s="60"/>
      <c r="L181" s="180"/>
    </row>
    <row r="182" spans="1:13" hidden="1" x14ac:dyDescent="0.25">
      <c r="B182" s="190" t="s">
        <v>144</v>
      </c>
      <c r="C182" s="141" t="b">
        <f>shift_index = 1</f>
        <v>0</v>
      </c>
      <c r="D182" s="141" t="b">
        <f>shift_index = 8</f>
        <v>0</v>
      </c>
      <c r="E182" s="60"/>
      <c r="F182" s="60"/>
      <c r="G182" s="60"/>
      <c r="H182" s="60"/>
      <c r="I182" s="60"/>
      <c r="J182" s="60"/>
      <c r="K182" s="60"/>
      <c r="L182" s="180"/>
    </row>
    <row r="183" spans="1:13" ht="13" hidden="1" x14ac:dyDescent="0.3">
      <c r="B183" s="189" t="s">
        <v>142</v>
      </c>
      <c r="C183" s="141">
        <f ca="1">(OFFSET(F6,0,($I$168-1)*3)+sens_shift)*C182</f>
        <v>0</v>
      </c>
      <c r="D183" s="141">
        <f ca="1">(OFFSET(G6,0,($I$168-1)*3)+sens_shift)*D182</f>
        <v>0</v>
      </c>
      <c r="E183" s="60"/>
      <c r="F183" s="60"/>
      <c r="G183" s="60"/>
      <c r="H183" s="60"/>
      <c r="I183" s="60"/>
      <c r="J183" s="60"/>
      <c r="K183" s="60"/>
      <c r="L183" s="180"/>
    </row>
    <row r="184" spans="1:13" hidden="1" x14ac:dyDescent="0.25">
      <c r="B184" s="190" t="s">
        <v>146</v>
      </c>
      <c r="C184" s="141" t="b">
        <f>shift_index=4</f>
        <v>0</v>
      </c>
      <c r="D184" s="141" t="b">
        <f>shift_index=11</f>
        <v>0</v>
      </c>
      <c r="E184" s="60"/>
      <c r="F184" s="60"/>
      <c r="G184" s="60"/>
      <c r="H184" s="60"/>
      <c r="I184" s="60"/>
      <c r="J184" s="60"/>
      <c r="K184" s="60"/>
      <c r="L184" s="180"/>
    </row>
    <row r="185" spans="1:13" ht="13" hidden="1" x14ac:dyDescent="0.3">
      <c r="B185" s="189" t="s">
        <v>142</v>
      </c>
      <c r="C185" s="141">
        <f ca="1">OFFSET(F6,0,($I$168-1)*3)*(1-(OFFSET(F9,0,($I$168-1)*3)+sens_shift))/(1-(OFFSET(F9,0,($I$168-1)*3)))*C184</f>
        <v>0</v>
      </c>
      <c r="D185" s="141">
        <f ca="1">OFFSET(G6,0,($I$168-1)*3)*(1-(OFFSET(G9,0,($I$168-1)*3)+sens_shift))/(1-(OFFSET(G9,0,($I$168-1)*3)))*D184</f>
        <v>0</v>
      </c>
      <c r="E185" s="60"/>
      <c r="F185" s="60"/>
      <c r="G185" s="60"/>
      <c r="H185" s="60"/>
      <c r="I185" s="60"/>
      <c r="J185" s="60"/>
      <c r="K185" s="60"/>
      <c r="L185" s="180"/>
    </row>
    <row r="186" spans="1:13" hidden="1" x14ac:dyDescent="0.25">
      <c r="B186" s="190" t="s">
        <v>145</v>
      </c>
      <c r="C186" s="141" t="b">
        <f>shift_index=3</f>
        <v>0</v>
      </c>
      <c r="D186" s="141" t="b">
        <f>shift_index=10</f>
        <v>0</v>
      </c>
      <c r="E186" s="60"/>
      <c r="F186" s="60"/>
      <c r="G186" s="60"/>
      <c r="H186" s="60"/>
      <c r="I186" s="60"/>
      <c r="J186" s="60"/>
      <c r="K186" s="60"/>
      <c r="L186" s="180"/>
    </row>
    <row r="187" spans="1:13" ht="13" hidden="1" x14ac:dyDescent="0.3">
      <c r="B187" s="189" t="s">
        <v>142</v>
      </c>
      <c r="C187" s="141">
        <f ca="1">(OFFSET(F6,0,($I$168-1)*3)-sens_shift*(1-OFFSET(F9,0,($I$168-1)*3)))*C186</f>
        <v>0</v>
      </c>
      <c r="D187" s="141">
        <f ca="1">(OFFSET(G6,0,($I$168-1)*3)-sens_shift*(1-OFFSET(G9,0,($I$168-1)*3)))*D186</f>
        <v>0</v>
      </c>
      <c r="E187" s="60"/>
      <c r="F187" s="60"/>
      <c r="G187" s="60"/>
      <c r="H187" s="60"/>
      <c r="I187" s="60"/>
      <c r="J187" s="60"/>
      <c r="K187" s="60"/>
      <c r="L187" s="180"/>
    </row>
    <row r="188" spans="1:13" hidden="1" x14ac:dyDescent="0.25">
      <c r="B188" s="188" t="s">
        <v>141</v>
      </c>
      <c r="C188" s="60" t="b">
        <f>AND(NOT(C176),NOT(C178),NOT(C180),NOT(C182),NOT(C184),NOT(C186))</f>
        <v>1</v>
      </c>
      <c r="D188" s="60" t="b">
        <f>AND(NOT(D176),NOT(D178),NOT(D180),NOT(D182),NOT(D184),NOT(D186))</f>
        <v>1</v>
      </c>
      <c r="E188" s="60"/>
      <c r="F188" s="60"/>
      <c r="G188" s="60"/>
      <c r="H188" s="60"/>
      <c r="I188" s="60"/>
      <c r="J188" s="60"/>
      <c r="K188" s="60"/>
      <c r="L188" s="180"/>
    </row>
    <row r="189" spans="1:13" ht="13" hidden="1" x14ac:dyDescent="0.3">
      <c r="B189" s="189" t="s">
        <v>142</v>
      </c>
      <c r="C189" s="141">
        <f ca="1">OFFSET(F6,0,($I$168-1)*3)*C188</f>
        <v>0.12</v>
      </c>
      <c r="D189" s="141">
        <f ca="1">OFFSET(G6,0,($I$168-1)*3)*D188</f>
        <v>0.1</v>
      </c>
      <c r="E189" s="60"/>
      <c r="F189" s="60"/>
      <c r="G189" s="60"/>
      <c r="H189" s="60"/>
      <c r="I189" s="60"/>
      <c r="J189" s="60"/>
      <c r="K189" s="60"/>
      <c r="L189" s="180"/>
    </row>
    <row r="190" spans="1:13" hidden="1" x14ac:dyDescent="0.25">
      <c r="B190" s="117"/>
      <c r="C190" s="60"/>
      <c r="D190" s="60"/>
      <c r="E190" s="60"/>
      <c r="F190" s="60"/>
      <c r="G190" s="60"/>
      <c r="H190" s="60"/>
      <c r="I190" s="60"/>
      <c r="J190" s="60"/>
      <c r="K190" s="60"/>
      <c r="L190" s="180"/>
    </row>
    <row r="191" spans="1:13" ht="13" hidden="1" thickBot="1" x14ac:dyDescent="0.3">
      <c r="B191" s="122" t="s">
        <v>142</v>
      </c>
      <c r="C191" s="191">
        <f ca="1">C177+C179+C181+C189+C183+C185+C187</f>
        <v>0.12</v>
      </c>
      <c r="D191" s="191">
        <f ca="1">D177+D179+D181+D189+D183+D185+D187</f>
        <v>0.1</v>
      </c>
      <c r="E191" s="192"/>
      <c r="F191" s="192"/>
      <c r="G191" s="192"/>
      <c r="H191" s="192"/>
      <c r="I191" s="192"/>
      <c r="J191" s="192"/>
      <c r="K191" s="192"/>
      <c r="L191" s="193"/>
    </row>
    <row r="192" spans="1:13" s="80" customFormat="1" ht="13" hidden="1" thickBot="1" x14ac:dyDescent="0.3">
      <c r="A192" s="173"/>
      <c r="B192" s="70"/>
      <c r="C192" s="70"/>
      <c r="D192" s="194"/>
      <c r="E192" s="18"/>
      <c r="F192" s="18"/>
      <c r="G192" s="18"/>
      <c r="H192" s="18"/>
      <c r="I192" s="18"/>
      <c r="J192" s="18"/>
      <c r="K192" s="18"/>
      <c r="L192" s="18"/>
      <c r="M192" s="178"/>
    </row>
    <row r="193" spans="1:14" ht="13" hidden="1" x14ac:dyDescent="0.3">
      <c r="B193" s="195" t="s">
        <v>217</v>
      </c>
      <c r="C193" s="196"/>
      <c r="D193" s="196"/>
      <c r="E193" s="196"/>
      <c r="F193" s="196"/>
      <c r="G193" s="196"/>
      <c r="H193" s="196"/>
      <c r="I193" s="196"/>
      <c r="J193" s="196"/>
      <c r="K193" s="197"/>
      <c r="L193" s="197"/>
      <c r="M193" s="197"/>
      <c r="N193" s="198"/>
    </row>
    <row r="194" spans="1:14" hidden="1" x14ac:dyDescent="0.25">
      <c r="B194" s="199"/>
      <c r="C194" s="60" t="s">
        <v>216</v>
      </c>
      <c r="D194" s="60">
        <f>hyper_first_phase+fade</f>
        <v>6</v>
      </c>
      <c r="E194" s="60"/>
      <c r="F194" s="60"/>
      <c r="G194" s="60"/>
      <c r="H194" s="60" t="str">
        <f>"In the coverage ratio table for scenario "</f>
        <v xml:space="preserve">In the coverage ratio table for scenario </v>
      </c>
      <c r="I194" s="60"/>
      <c r="J194" s="60"/>
      <c r="K194" s="150"/>
      <c r="L194" s="150"/>
      <c r="M194" s="150"/>
      <c r="N194" s="180"/>
    </row>
    <row r="195" spans="1:14" hidden="1" x14ac:dyDescent="0.25">
      <c r="B195" s="199"/>
      <c r="C195" s="60"/>
      <c r="D195" s="60"/>
      <c r="E195" s="60"/>
      <c r="F195" s="60"/>
      <c r="G195" s="60"/>
      <c r="J195" s="60" t="e">
        <f>MATCH(1,F196:F199,0)</f>
        <v>#N/A</v>
      </c>
      <c r="K195" s="60" t="e">
        <f>MATCH(1,G196:G199,0)</f>
        <v>#N/A</v>
      </c>
      <c r="L195" s="60" t="e">
        <f>MATCH(1,H196:H199,0)</f>
        <v>#N/A</v>
      </c>
      <c r="M195" s="60" t="e">
        <f>MATCH(1,I196:I199,0)</f>
        <v>#N/A</v>
      </c>
      <c r="N195" s="180"/>
    </row>
    <row r="196" spans="1:14" hidden="1" x14ac:dyDescent="0.25">
      <c r="B196" s="199" t="s">
        <v>237</v>
      </c>
      <c r="C196" s="60"/>
      <c r="D196" s="60"/>
      <c r="E196" s="60"/>
      <c r="F196" s="200">
        <f>IF(F16&gt;F15,1,0)</f>
        <v>0</v>
      </c>
      <c r="G196" s="201">
        <f>IF(G16&lt;G15,1,0)</f>
        <v>0</v>
      </c>
      <c r="H196" s="200">
        <f>IF(I16&gt;I15,1,0)</f>
        <v>0</v>
      </c>
      <c r="I196" s="201">
        <f>IF(J16&lt;J15,1,0)</f>
        <v>0</v>
      </c>
      <c r="J196" s="202" t="str">
        <f ca="1">IF(NOT(ISERROR(J195)),H194 &amp; 1 &amp; " the coverage ratio in cell " &amp; ADDRESS(ROW(F15)+J195,COLUMN(F15),4) &amp; " [" &amp; TEXT(OFFSET(F15,J195,0),"0.0") &amp; "] cannot be greater than the ratio in cell " &amp; ADDRESS(ROW(F14)+J195,COLUMN(F14),4)&amp;" [" &amp; TEXT(OFFSET(F14,J195,0),"0.0") &amp;"].","")</f>
        <v/>
      </c>
      <c r="K196" s="203"/>
      <c r="L196" s="203"/>
      <c r="M196" s="203"/>
      <c r="N196" s="180"/>
    </row>
    <row r="197" spans="1:14" hidden="1" x14ac:dyDescent="0.25">
      <c r="B197" s="199"/>
      <c r="C197" s="60"/>
      <c r="D197" s="60"/>
      <c r="E197" s="60"/>
      <c r="F197" s="204">
        <f>IF(F17&gt;F16,1,0)</f>
        <v>0</v>
      </c>
      <c r="G197" s="205">
        <f>IF(G17&lt;G16,1,0)</f>
        <v>0</v>
      </c>
      <c r="H197" s="204">
        <f>IF(I17&gt;I16,1,0)</f>
        <v>0</v>
      </c>
      <c r="I197" s="205">
        <f>IF(J17&lt;J16,1,0)</f>
        <v>0</v>
      </c>
      <c r="J197" s="202" t="str">
        <f ca="1">IF(NOT(ISERROR(K195)),H194 &amp; 1 &amp; " the margin in cell " &amp; ADDRESS(ROW(G15)+K195,COLUMN(G15),4) &amp; " [" &amp; TEXT(OFFSET(G15,K195,0),"0.0%") &amp; "] cannot be less than the margin in cell " &amp; ADDRESS(ROW(G14)+K195,COLUMN(G14),4)&amp;" [" &amp; TEXT(OFFSET(G14,K195,0),"0.0%") &amp; "].","")</f>
        <v/>
      </c>
      <c r="K197" s="203"/>
      <c r="L197" s="203"/>
      <c r="M197" s="203"/>
      <c r="N197" s="180"/>
    </row>
    <row r="198" spans="1:14" hidden="1" x14ac:dyDescent="0.25">
      <c r="B198" s="199"/>
      <c r="C198" s="60"/>
      <c r="D198" s="60"/>
      <c r="E198" s="60"/>
      <c r="F198" s="204">
        <f>IF(F18&gt;F17,1,0)</f>
        <v>0</v>
      </c>
      <c r="G198" s="205">
        <f>IF(G18&lt;G17,1,0)</f>
        <v>0</v>
      </c>
      <c r="H198" s="204">
        <f>IF(I18&gt;I17,1,0)</f>
        <v>0</v>
      </c>
      <c r="I198" s="205">
        <f>IF(J18&lt;J17,1,0)</f>
        <v>0</v>
      </c>
      <c r="J198" s="206" t="str">
        <f ca="1">IF(NOT(ISERROR(L195)),H194 &amp; 2 &amp; " the coverage ratio in cell " &amp; ADDRESS(ROW(I15)+L195,COLUMN(I15),4) &amp; " [" &amp; TEXT(OFFSET(I15,L195,0),"0.0") &amp; "] cannot be greater than the ratio in cell " &amp; ADDRESS(ROW(I14)+L195,COLUMN(I14),4)&amp;" [" &amp; TEXT(OFFSET(I14,L195,0),"0.0") &amp;"].","")</f>
        <v/>
      </c>
      <c r="K198" s="150"/>
      <c r="L198" s="150"/>
      <c r="M198" s="150"/>
      <c r="N198" s="180"/>
    </row>
    <row r="199" spans="1:14" hidden="1" x14ac:dyDescent="0.25">
      <c r="B199" s="199"/>
      <c r="C199" s="60" t="str">
        <f>row_growth</f>
        <v>Growth rate</v>
      </c>
      <c r="D199" s="207">
        <f ca="1">OFFSET(row_growth,0,hyper_first_phase+fade)</f>
        <v>0.02</v>
      </c>
      <c r="E199" s="60"/>
      <c r="F199" s="208">
        <f>IF(F19&gt;F18,1,0)</f>
        <v>0</v>
      </c>
      <c r="G199" s="209">
        <f>IF(G19&lt;G18,1,0)</f>
        <v>0</v>
      </c>
      <c r="H199" s="208">
        <f>IF(I19&gt;I18,1,0)</f>
        <v>0</v>
      </c>
      <c r="I199" s="209">
        <f>IF(J19&lt;J18,1,0)</f>
        <v>0</v>
      </c>
      <c r="J199" s="206" t="str">
        <f ca="1">IF(NOT(ISERROR(M195)),H194 &amp; 2 &amp; " the margin in cell " &amp; ADDRESS(ROW(J15)+M195,COLUMN(J15),4) &amp; " [" &amp; TEXT(OFFSET(J15,M195,0),"0.0%") &amp; "] cannot be less than the margin in cell " &amp; ADDRESS(ROW(J14)+M195,COLUMN(J14),4)&amp;" [" &amp; TEXT(OFFSET(J14,M195,0),"0.0%") &amp; "].","")</f>
        <v/>
      </c>
      <c r="K199" s="150"/>
      <c r="L199" s="150"/>
      <c r="M199" s="150"/>
      <c r="N199" s="180"/>
    </row>
    <row r="200" spans="1:14" hidden="1" x14ac:dyDescent="0.25">
      <c r="B200" s="199"/>
      <c r="C200" s="60" t="str">
        <f>row_coe</f>
        <v>Cost of equity</v>
      </c>
      <c r="D200" s="207">
        <f ca="1">OFFSET(row_coe,0,hyper_first_phase+fade)</f>
        <v>0.11535844471445318</v>
      </c>
      <c r="E200" s="60"/>
      <c r="F200" s="60"/>
      <c r="G200" s="60"/>
      <c r="H200" s="60"/>
      <c r="I200" s="60"/>
      <c r="J200" s="60"/>
      <c r="K200" s="150"/>
      <c r="L200" s="150"/>
      <c r="M200" s="150"/>
      <c r="N200" s="180"/>
    </row>
    <row r="201" spans="1:14" hidden="1" x14ac:dyDescent="0.25">
      <c r="B201" s="210" t="str">
        <f ca="1">C201</f>
        <v/>
      </c>
      <c r="C201" s="206" t="str">
        <f ca="1">IF(D199&gt;=D200,C199 &amp; " in terminal year (" &amp; TEXT(D199,"0.00%") &amp; " - in cell "&amp;ADDRESS(ROW(row_growth),COLUMN(row_growth)+$D$194,4) &amp; ") must be less than the " &amp; LOWER(C200) &amp; " (" &amp; TEXT(D200,"0.00%")&amp; " - in cell " &amp; ADDRESS(ROW(row_coe),COLUMN(row_coe)+$D$194,4)&amp;")","")</f>
        <v/>
      </c>
      <c r="D201" s="60" t="s">
        <v>218</v>
      </c>
      <c r="E201" s="60"/>
      <c r="F201" s="60"/>
      <c r="G201" s="60"/>
      <c r="H201" s="60"/>
      <c r="I201" s="60"/>
      <c r="J201" s="60"/>
      <c r="K201" s="150"/>
      <c r="L201" s="150"/>
      <c r="M201" s="150"/>
      <c r="N201" s="180"/>
    </row>
    <row r="202" spans="1:14" hidden="1" x14ac:dyDescent="0.25">
      <c r="B202" s="199"/>
      <c r="C202" s="60" t="s">
        <v>226</v>
      </c>
      <c r="D202" s="207">
        <f ca="1">OFFSET(row_interest_rate,0,hyper_first_phase+fade)</f>
        <v>2.800000000005607E-2</v>
      </c>
      <c r="E202" s="60"/>
      <c r="F202" s="60"/>
      <c r="G202" s="60"/>
      <c r="H202" s="200"/>
      <c r="I202" s="156" t="s">
        <v>301</v>
      </c>
      <c r="J202" s="201"/>
      <c r="K202" s="150"/>
      <c r="L202" s="150"/>
      <c r="M202" s="156" t="s">
        <v>301</v>
      </c>
      <c r="N202" s="180"/>
    </row>
    <row r="203" spans="1:14" hidden="1" x14ac:dyDescent="0.25">
      <c r="B203" s="210" t="str">
        <f ca="1">IF(B201="",C203,B201)</f>
        <v/>
      </c>
      <c r="C203" s="206" t="str">
        <f ca="1">IF(ABS(D199-D202)&lt;epsilon,C199 &amp; " in terminal year (" &amp; TEXT(D199,"0.00%") &amp; " - in cell "&amp;ADDRESS(ROW(row_growth),COLUMN(row_growth)+$D$194,4) &amp; ") cannot equal the " &amp; LOWER(C202) &amp; " (" &amp; TEXT(D202,"0.00%")&amp; " - in cell " &amp; ADDRESS(ROW(B42),COLUMN(B42)+$D$194,4)&amp;")","")</f>
        <v/>
      </c>
      <c r="D203" s="60" t="s">
        <v>218</v>
      </c>
      <c r="E203" s="60"/>
      <c r="F203" s="60"/>
      <c r="G203" s="60"/>
      <c r="H203" s="204">
        <v>1</v>
      </c>
      <c r="I203" s="60">
        <f>COUNTIF($B$32:$B$126,B133)</f>
        <v>0</v>
      </c>
      <c r="J203" s="205">
        <f>IF(MAX(I203:I210)&gt;0,MATCH(MAX(I203:I210),I203:I210,0),0)</f>
        <v>0</v>
      </c>
      <c r="K203" s="150" t="s">
        <v>299</v>
      </c>
      <c r="L203" s="150"/>
      <c r="M203" s="150">
        <f>COUNTIF($B$133:$B$140,B133)</f>
        <v>1</v>
      </c>
      <c r="N203" s="211">
        <f>MAX(M203:M210)</f>
        <v>1</v>
      </c>
    </row>
    <row r="204" spans="1:14" hidden="1" x14ac:dyDescent="0.25">
      <c r="B204" s="199"/>
      <c r="C204" s="60" t="s">
        <v>236</v>
      </c>
      <c r="D204" s="60"/>
      <c r="E204" s="60"/>
      <c r="F204" s="60"/>
      <c r="G204" s="60"/>
      <c r="H204" s="204">
        <f>H203+1</f>
        <v>2</v>
      </c>
      <c r="I204" s="60">
        <f t="shared" ref="I204:I210" si="78">COUNTIF($B$32:$B$126,B134)</f>
        <v>0</v>
      </c>
      <c r="J204" s="205"/>
      <c r="K204" s="150" t="s">
        <v>300</v>
      </c>
      <c r="L204" s="150"/>
      <c r="M204" s="150">
        <f t="shared" ref="M204:M210" si="79">COUNTIF($B$133:$B$140,B134)</f>
        <v>1</v>
      </c>
      <c r="N204" s="180">
        <f>IF(N203&gt;1,MATCH(N203,M203:M210,0),0)</f>
        <v>0</v>
      </c>
    </row>
    <row r="205" spans="1:14" hidden="1" x14ac:dyDescent="0.25">
      <c r="B205" s="210" t="str">
        <f ca="1">IF(B203="",C205,B203)</f>
        <v/>
      </c>
      <c r="C205" s="206" t="str">
        <f ca="1">J196</f>
        <v/>
      </c>
      <c r="D205" s="60" t="s">
        <v>218</v>
      </c>
      <c r="E205" s="60"/>
      <c r="F205" s="60"/>
      <c r="G205" s="60"/>
      <c r="H205" s="204">
        <f t="shared" ref="H205:H210" si="80">H204+1</f>
        <v>3</v>
      </c>
      <c r="I205" s="60">
        <f t="shared" si="78"/>
        <v>0</v>
      </c>
      <c r="J205" s="205"/>
      <c r="K205" s="150"/>
      <c r="L205" s="150"/>
      <c r="M205" s="150">
        <f t="shared" si="79"/>
        <v>1</v>
      </c>
      <c r="N205" s="180"/>
    </row>
    <row r="206" spans="1:14" hidden="1" x14ac:dyDescent="0.25">
      <c r="B206" s="210" t="str">
        <f t="shared" ref="B206:B211" ca="1" si="81">IF(B205="",C206,B205)</f>
        <v/>
      </c>
      <c r="C206" s="206" t="str">
        <f ca="1">J197</f>
        <v/>
      </c>
      <c r="D206" s="60" t="s">
        <v>218</v>
      </c>
      <c r="E206" s="60"/>
      <c r="F206" s="60"/>
      <c r="G206" s="60"/>
      <c r="H206" s="204">
        <f t="shared" si="80"/>
        <v>4</v>
      </c>
      <c r="I206" s="60">
        <f t="shared" si="78"/>
        <v>0</v>
      </c>
      <c r="J206" s="205"/>
      <c r="K206" s="150"/>
      <c r="L206" s="150"/>
      <c r="M206" s="150">
        <f t="shared" si="79"/>
        <v>1</v>
      </c>
      <c r="N206" s="180"/>
    </row>
    <row r="207" spans="1:14" hidden="1" x14ac:dyDescent="0.25">
      <c r="A207" s="147"/>
      <c r="B207" s="210" t="str">
        <f t="shared" ca="1" si="81"/>
        <v/>
      </c>
      <c r="C207" s="206" t="str">
        <f ca="1">J198</f>
        <v/>
      </c>
      <c r="D207" s="60" t="s">
        <v>218</v>
      </c>
      <c r="E207" s="60"/>
      <c r="F207" s="60"/>
      <c r="G207" s="60"/>
      <c r="H207" s="204">
        <f t="shared" si="80"/>
        <v>5</v>
      </c>
      <c r="I207" s="60">
        <f t="shared" si="78"/>
        <v>0</v>
      </c>
      <c r="J207" s="205"/>
      <c r="K207" s="150"/>
      <c r="L207" s="150"/>
      <c r="M207" s="150">
        <f t="shared" si="79"/>
        <v>1</v>
      </c>
      <c r="N207" s="180"/>
    </row>
    <row r="208" spans="1:14" hidden="1" x14ac:dyDescent="0.25">
      <c r="A208" s="147"/>
      <c r="B208" s="210" t="str">
        <f t="shared" ca="1" si="81"/>
        <v/>
      </c>
      <c r="C208" s="206" t="str">
        <f ca="1">J199</f>
        <v/>
      </c>
      <c r="D208" s="60" t="s">
        <v>218</v>
      </c>
      <c r="E208" s="60"/>
      <c r="F208" s="60"/>
      <c r="G208" s="60"/>
      <c r="H208" s="204">
        <f t="shared" si="80"/>
        <v>6</v>
      </c>
      <c r="I208" s="60">
        <f t="shared" si="78"/>
        <v>0</v>
      </c>
      <c r="J208" s="205"/>
      <c r="K208" s="150"/>
      <c r="L208" s="150"/>
      <c r="M208" s="150">
        <f t="shared" si="79"/>
        <v>1</v>
      </c>
      <c r="N208" s="180"/>
    </row>
    <row r="209" spans="1:22" hidden="1" x14ac:dyDescent="0.25">
      <c r="A209" s="147"/>
      <c r="B209" s="210" t="str">
        <f t="shared" ca="1" si="81"/>
        <v/>
      </c>
      <c r="C209" s="206" t="str">
        <f ca="1">IF(COUNTIF(OFFSET(row_eva_check,0,1,1,chart_points),is_error),"Consistency check has failed on row " &amp; ROW(row_eva_check) &amp; " on the main page - EVA &amp; DCF valuations do not agree","")</f>
        <v/>
      </c>
      <c r="D209" s="60" t="s">
        <v>218</v>
      </c>
      <c r="E209" s="60"/>
      <c r="F209" s="60"/>
      <c r="G209" s="60"/>
      <c r="H209" s="204">
        <f t="shared" si="80"/>
        <v>7</v>
      </c>
      <c r="I209" s="60">
        <f t="shared" si="78"/>
        <v>0</v>
      </c>
      <c r="J209" s="205"/>
      <c r="K209" s="150"/>
      <c r="L209" s="150"/>
      <c r="M209" s="150">
        <f t="shared" si="79"/>
        <v>1</v>
      </c>
      <c r="N209" s="180"/>
    </row>
    <row r="210" spans="1:22" hidden="1" x14ac:dyDescent="0.25">
      <c r="A210" s="147"/>
      <c r="B210" s="210" t="str">
        <f t="shared" ca="1" si="81"/>
        <v/>
      </c>
      <c r="C210" s="212" t="str">
        <f ca="1">IF(MAX(I203:I210)&gt;0,"You can't label cell " &amp; ADDRESS(ROW(row_udf1)+J203-1,COLUMN(row_udf1),4) &amp; " as " &amp; LOWER(OFFSET(row_udf1,J203-1,0)) &amp; " because that label has already been used earlier on row " &amp; ROW(error_row) + MATCH(OFFSET(row_udf1,J203-1,0),B4:B126,0)&amp;".","")</f>
        <v/>
      </c>
      <c r="E210" s="60" t="s">
        <v>298</v>
      </c>
      <c r="F210" s="60"/>
      <c r="G210" s="60"/>
      <c r="H210" s="208">
        <f t="shared" si="80"/>
        <v>8</v>
      </c>
      <c r="I210" s="60">
        <f t="shared" si="78"/>
        <v>0</v>
      </c>
      <c r="J210" s="209"/>
      <c r="K210" s="150"/>
      <c r="L210" s="150"/>
      <c r="M210" s="150">
        <f t="shared" si="79"/>
        <v>1</v>
      </c>
      <c r="N210" s="180"/>
    </row>
    <row r="211" spans="1:22" hidden="1" x14ac:dyDescent="0.25">
      <c r="A211" s="147"/>
      <c r="B211" s="210" t="str">
        <f t="shared" ca="1" si="81"/>
        <v/>
      </c>
      <c r="C211" s="3" t="str">
        <f>IF(N203&gt;1,"You can't repeat user defined row labels ( the one on row " &amp; ROW(row_udf1)+N204-1 &amp; " is duplicated)","")</f>
        <v/>
      </c>
      <c r="D211" s="60"/>
      <c r="E211" s="60" t="s">
        <v>298</v>
      </c>
      <c r="F211" s="60"/>
      <c r="G211" s="60"/>
      <c r="H211" s="60"/>
      <c r="I211" s="60"/>
      <c r="J211" s="60"/>
      <c r="K211" s="150"/>
      <c r="L211" s="150"/>
      <c r="M211" s="150"/>
      <c r="N211" s="180"/>
    </row>
    <row r="212" spans="1:22" ht="13" hidden="1" thickBot="1" x14ac:dyDescent="0.3">
      <c r="A212" s="147"/>
      <c r="B212" s="122"/>
      <c r="C212" s="192"/>
      <c r="D212" s="192"/>
      <c r="E212" s="192"/>
      <c r="F212" s="192"/>
      <c r="G212" s="192"/>
      <c r="H212" s="192"/>
      <c r="I212" s="192"/>
      <c r="J212" s="192"/>
      <c r="K212" s="213"/>
      <c r="L212" s="213"/>
      <c r="M212" s="213"/>
      <c r="N212" s="193"/>
    </row>
    <row r="213" spans="1:22" ht="13" hidden="1" thickBot="1" x14ac:dyDescent="0.3">
      <c r="A213" s="214"/>
      <c r="F213" s="60"/>
      <c r="G213" s="60"/>
      <c r="H213" s="60"/>
      <c r="I213" s="60"/>
      <c r="J213" s="60"/>
      <c r="K213" s="150"/>
      <c r="L213" s="150"/>
      <c r="M213" s="170"/>
    </row>
    <row r="214" spans="1:22" ht="13" hidden="1" x14ac:dyDescent="0.3">
      <c r="B214" s="195" t="s">
        <v>191</v>
      </c>
      <c r="C214" s="215"/>
      <c r="D214" s="215"/>
      <c r="E214" s="215"/>
      <c r="F214" s="215"/>
      <c r="G214" s="215"/>
      <c r="H214" s="215"/>
      <c r="I214" s="215"/>
      <c r="J214" s="215"/>
      <c r="K214" s="216"/>
      <c r="L214" s="216"/>
      <c r="M214" s="216"/>
      <c r="N214" s="215"/>
      <c r="O214" s="215"/>
      <c r="P214" s="217"/>
    </row>
    <row r="215" spans="1:22" hidden="1" x14ac:dyDescent="0.25">
      <c r="A215" s="147"/>
      <c r="B215" s="117" t="s">
        <v>35</v>
      </c>
      <c r="C215" s="162">
        <f t="shared" ref="C215:P215" ca="1" si="82">IF(OR(C49=0,$D$19=0),C36,C295+C36)*(C29&lt;3)</f>
        <v>4.0052367121421795E-2</v>
      </c>
      <c r="D215" s="162">
        <f t="shared" ca="1" si="82"/>
        <v>4.0052367121421795E-2</v>
      </c>
      <c r="E215" s="162">
        <f t="shared" ca="1" si="82"/>
        <v>4.0052367121421795E-2</v>
      </c>
      <c r="F215" s="162">
        <f t="shared" ca="1" si="82"/>
        <v>4.0009204094902384E-2</v>
      </c>
      <c r="G215" s="162">
        <f t="shared" ca="1" si="82"/>
        <v>4.0000188496415234E-2</v>
      </c>
      <c r="H215" s="162">
        <f t="shared" ca="1" si="82"/>
        <v>4.0000000000080103E-2</v>
      </c>
      <c r="I215" s="162">
        <f t="shared" ca="1" si="82"/>
        <v>0</v>
      </c>
      <c r="J215" s="162">
        <f t="shared" ca="1" si="82"/>
        <v>0</v>
      </c>
      <c r="K215" s="162">
        <f t="shared" ca="1" si="82"/>
        <v>0</v>
      </c>
      <c r="L215" s="162">
        <f t="shared" ca="1" si="82"/>
        <v>0</v>
      </c>
      <c r="M215" s="162">
        <f t="shared" ca="1" si="82"/>
        <v>0</v>
      </c>
      <c r="N215" s="162">
        <f t="shared" ca="1" si="82"/>
        <v>0</v>
      </c>
      <c r="O215" s="162">
        <f t="shared" ca="1" si="82"/>
        <v>0</v>
      </c>
      <c r="P215" s="218">
        <f t="shared" ca="1" si="82"/>
        <v>0</v>
      </c>
      <c r="Q215" s="162"/>
      <c r="R215" s="162"/>
      <c r="S215" s="162"/>
      <c r="T215" s="162"/>
      <c r="U215" s="162"/>
      <c r="V215" s="162"/>
    </row>
    <row r="216" spans="1:22" hidden="1" x14ac:dyDescent="0.25">
      <c r="A216" s="147"/>
      <c r="B216" s="117"/>
      <c r="C216" s="60"/>
      <c r="D216" s="60"/>
      <c r="E216" s="60"/>
      <c r="F216" s="60"/>
      <c r="G216" s="60"/>
      <c r="H216" s="60"/>
      <c r="I216" s="60"/>
      <c r="J216" s="60"/>
      <c r="K216" s="150"/>
      <c r="L216" s="150"/>
      <c r="M216" s="150"/>
      <c r="N216" s="60"/>
      <c r="O216" s="60"/>
      <c r="P216" s="180"/>
    </row>
    <row r="217" spans="1:22" hidden="1" x14ac:dyDescent="0.25">
      <c r="A217" s="67">
        <f>base_year</f>
        <v>2020</v>
      </c>
      <c r="B217" s="219">
        <v>1</v>
      </c>
      <c r="C217" s="220">
        <f t="shared" ref="C217:P217" ca="1" si="83">C$53/(C$49*(C$36+$D$19))</f>
        <v>5.2207792207792192</v>
      </c>
      <c r="D217" s="220">
        <f t="shared" ca="1" si="83"/>
        <v>5.2207792207792201</v>
      </c>
      <c r="E217" s="220">
        <f t="shared" ca="1" si="83"/>
        <v>5.220779220779221</v>
      </c>
      <c r="F217" s="220">
        <f t="shared" ca="1" si="83"/>
        <v>6.1637150728059815</v>
      </c>
      <c r="G217" s="220">
        <f t="shared" ca="1" si="83"/>
        <v>8.2832405689548576</v>
      </c>
      <c r="H217" s="220">
        <f t="shared" ca="1" si="83"/>
        <v>16.285714285714306</v>
      </c>
      <c r="I217" s="220" t="e">
        <f t="shared" ca="1" si="83"/>
        <v>#DIV/0!</v>
      </c>
      <c r="J217" s="220" t="e">
        <f t="shared" ca="1" si="83"/>
        <v>#DIV/0!</v>
      </c>
      <c r="K217" s="220" t="e">
        <f t="shared" ca="1" si="83"/>
        <v>#DIV/0!</v>
      </c>
      <c r="L217" s="220" t="e">
        <f t="shared" ca="1" si="83"/>
        <v>#DIV/0!</v>
      </c>
      <c r="M217" s="220" t="e">
        <f t="shared" ca="1" si="83"/>
        <v>#DIV/0!</v>
      </c>
      <c r="N217" s="220" t="e">
        <f t="shared" ca="1" si="83"/>
        <v>#DIV/0!</v>
      </c>
      <c r="O217" s="220" t="e">
        <f t="shared" ca="1" si="83"/>
        <v>#DIV/0!</v>
      </c>
      <c r="P217" s="221" t="e">
        <f t="shared" ca="1" si="83"/>
        <v>#DIV/0!</v>
      </c>
      <c r="Q217" s="222"/>
      <c r="R217" s="222"/>
      <c r="S217" s="222"/>
      <c r="T217" s="222"/>
      <c r="U217" s="222"/>
      <c r="V217" s="222"/>
    </row>
    <row r="218" spans="1:22" hidden="1" x14ac:dyDescent="0.25">
      <c r="A218" s="67">
        <f>A217+1</f>
        <v>2021</v>
      </c>
      <c r="B218" s="117" t="s">
        <v>24</v>
      </c>
      <c r="C218" s="223">
        <f t="shared" ref="C218:P218" ca="1" si="84">FLOOR((C217-$C$300)/$I$297,1)+1</f>
        <v>3</v>
      </c>
      <c r="D218" s="223">
        <f t="shared" ca="1" si="84"/>
        <v>3</v>
      </c>
      <c r="E218" s="223">
        <f t="shared" ca="1" si="84"/>
        <v>3</v>
      </c>
      <c r="F218" s="223">
        <f t="shared" ca="1" si="84"/>
        <v>4</v>
      </c>
      <c r="G218" s="223">
        <f t="shared" ca="1" si="84"/>
        <v>5</v>
      </c>
      <c r="H218" s="223">
        <f t="shared" ca="1" si="84"/>
        <v>10</v>
      </c>
      <c r="I218" s="223" t="e">
        <f t="shared" ca="1" si="84"/>
        <v>#DIV/0!</v>
      </c>
      <c r="J218" s="223" t="e">
        <f t="shared" ca="1" si="84"/>
        <v>#DIV/0!</v>
      </c>
      <c r="K218" s="223" t="e">
        <f t="shared" ca="1" si="84"/>
        <v>#DIV/0!</v>
      </c>
      <c r="L218" s="223" t="e">
        <f t="shared" ca="1" si="84"/>
        <v>#DIV/0!</v>
      </c>
      <c r="M218" s="223" t="e">
        <f t="shared" ca="1" si="84"/>
        <v>#DIV/0!</v>
      </c>
      <c r="N218" s="223" t="e">
        <f t="shared" ca="1" si="84"/>
        <v>#DIV/0!</v>
      </c>
      <c r="O218" s="223" t="e">
        <f t="shared" ca="1" si="84"/>
        <v>#DIV/0!</v>
      </c>
      <c r="P218" s="224" t="e">
        <f t="shared" ca="1" si="84"/>
        <v>#DIV/0!</v>
      </c>
      <c r="Q218" s="225"/>
      <c r="R218" s="225"/>
      <c r="S218" s="225"/>
      <c r="T218" s="225"/>
      <c r="U218" s="225"/>
      <c r="V218" s="225"/>
    </row>
    <row r="219" spans="1:22" hidden="1" x14ac:dyDescent="0.25">
      <c r="A219" s="67">
        <f t="shared" ref="A219:A242" si="85">A218+1</f>
        <v>2022</v>
      </c>
      <c r="B219" s="226" t="s">
        <v>36</v>
      </c>
      <c r="C219" s="227">
        <f t="shared" ref="C219:P219" ca="1" si="86">C217-($C$300+(C218-1)*$I$297)</f>
        <v>0.72077922077921919</v>
      </c>
      <c r="D219" s="227">
        <f t="shared" ca="1" si="86"/>
        <v>0.72077922077922008</v>
      </c>
      <c r="E219" s="227">
        <f t="shared" ca="1" si="86"/>
        <v>0.72077922077922096</v>
      </c>
      <c r="F219" s="227">
        <f t="shared" ca="1" si="86"/>
        <v>0.16371507280598152</v>
      </c>
      <c r="G219" s="227">
        <f t="shared" ca="1" si="86"/>
        <v>0.78324056895485761</v>
      </c>
      <c r="H219" s="227">
        <f t="shared" ca="1" si="86"/>
        <v>1.285714285714306</v>
      </c>
      <c r="I219" s="227" t="e">
        <f t="shared" ca="1" si="86"/>
        <v>#DIV/0!</v>
      </c>
      <c r="J219" s="227" t="e">
        <f t="shared" ca="1" si="86"/>
        <v>#DIV/0!</v>
      </c>
      <c r="K219" s="227" t="e">
        <f t="shared" ca="1" si="86"/>
        <v>#DIV/0!</v>
      </c>
      <c r="L219" s="227" t="e">
        <f t="shared" ca="1" si="86"/>
        <v>#DIV/0!</v>
      </c>
      <c r="M219" s="227" t="e">
        <f t="shared" ca="1" si="86"/>
        <v>#DIV/0!</v>
      </c>
      <c r="N219" s="227" t="e">
        <f t="shared" ca="1" si="86"/>
        <v>#DIV/0!</v>
      </c>
      <c r="O219" s="227" t="e">
        <f t="shared" ca="1" si="86"/>
        <v>#DIV/0!</v>
      </c>
      <c r="P219" s="228" t="e">
        <f t="shared" ca="1" si="86"/>
        <v>#DIV/0!</v>
      </c>
      <c r="Q219" s="110"/>
      <c r="R219" s="110"/>
      <c r="S219" s="110"/>
      <c r="T219" s="110"/>
      <c r="U219" s="110"/>
      <c r="V219" s="110"/>
    </row>
    <row r="220" spans="1:22" hidden="1" x14ac:dyDescent="0.25">
      <c r="A220" s="67">
        <f t="shared" si="85"/>
        <v>2023</v>
      </c>
      <c r="B220" s="226" t="s">
        <v>38</v>
      </c>
      <c r="C220" s="60">
        <f t="shared" ref="C220:P220" ca="1" si="87">OFFSET($G$306,C218,0)</f>
        <v>-2.9100529100529088E-4</v>
      </c>
      <c r="D220" s="60">
        <f t="shared" ca="1" si="87"/>
        <v>-2.9100529100529088E-4</v>
      </c>
      <c r="E220" s="60">
        <f t="shared" ca="1" si="87"/>
        <v>-2.9100529100529088E-4</v>
      </c>
      <c r="F220" s="60">
        <f t="shared" ca="1" si="87"/>
        <v>-2.3809523809523807E-4</v>
      </c>
      <c r="G220" s="60">
        <f t="shared" ca="1" si="87"/>
        <v>0</v>
      </c>
      <c r="H220" s="60" t="str">
        <f t="shared" ca="1" si="87"/>
        <v>Cost of capital [WACC]</v>
      </c>
      <c r="I220" s="60" t="e">
        <f t="shared" ca="1" si="87"/>
        <v>#DIV/0!</v>
      </c>
      <c r="J220" s="60" t="e">
        <f t="shared" ca="1" si="87"/>
        <v>#DIV/0!</v>
      </c>
      <c r="K220" s="60" t="e">
        <f t="shared" ca="1" si="87"/>
        <v>#DIV/0!</v>
      </c>
      <c r="L220" s="60" t="e">
        <f t="shared" ca="1" si="87"/>
        <v>#DIV/0!</v>
      </c>
      <c r="M220" s="60" t="e">
        <f t="shared" ca="1" si="87"/>
        <v>#DIV/0!</v>
      </c>
      <c r="N220" s="60" t="e">
        <f t="shared" ca="1" si="87"/>
        <v>#DIV/0!</v>
      </c>
      <c r="O220" s="60" t="e">
        <f t="shared" ca="1" si="87"/>
        <v>#DIV/0!</v>
      </c>
      <c r="P220" s="180" t="e">
        <f t="shared" ca="1" si="87"/>
        <v>#DIV/0!</v>
      </c>
    </row>
    <row r="221" spans="1:22" hidden="1" x14ac:dyDescent="0.25">
      <c r="A221" s="67">
        <f t="shared" si="85"/>
        <v>2024</v>
      </c>
      <c r="B221" s="117" t="s">
        <v>37</v>
      </c>
      <c r="C221" s="60">
        <f t="shared" ref="C221:P221" ca="1" si="88">OFFSET($H$306,C218,0)</f>
        <v>2.3809523809523803E-3</v>
      </c>
      <c r="D221" s="60">
        <f t="shared" ca="1" si="88"/>
        <v>2.3809523809523803E-3</v>
      </c>
      <c r="E221" s="60">
        <f t="shared" ca="1" si="88"/>
        <v>2.3809523809523803E-3</v>
      </c>
      <c r="F221" s="60">
        <f t="shared" ca="1" si="88"/>
        <v>1.0714285714285713E-3</v>
      </c>
      <c r="G221" s="60">
        <f t="shared" ca="1" si="88"/>
        <v>0</v>
      </c>
      <c r="H221" s="60" t="str">
        <f t="shared" ca="1" si="88"/>
        <v>Firm [market / book] ratio</v>
      </c>
      <c r="I221" s="60" t="e">
        <f t="shared" ca="1" si="88"/>
        <v>#DIV/0!</v>
      </c>
      <c r="J221" s="60" t="e">
        <f t="shared" ca="1" si="88"/>
        <v>#DIV/0!</v>
      </c>
      <c r="K221" s="60" t="e">
        <f t="shared" ca="1" si="88"/>
        <v>#DIV/0!</v>
      </c>
      <c r="L221" s="60" t="e">
        <f t="shared" ca="1" si="88"/>
        <v>#DIV/0!</v>
      </c>
      <c r="M221" s="60" t="e">
        <f t="shared" ca="1" si="88"/>
        <v>#DIV/0!</v>
      </c>
      <c r="N221" s="60" t="e">
        <f t="shared" ca="1" si="88"/>
        <v>#DIV/0!</v>
      </c>
      <c r="O221" s="60" t="e">
        <f t="shared" ca="1" si="88"/>
        <v>#DIV/0!</v>
      </c>
      <c r="P221" s="180" t="e">
        <f t="shared" ca="1" si="88"/>
        <v>#DIV/0!</v>
      </c>
    </row>
    <row r="222" spans="1:22" hidden="1" x14ac:dyDescent="0.25">
      <c r="A222" s="67">
        <f t="shared" si="85"/>
        <v>2025</v>
      </c>
      <c r="B222" s="226" t="s">
        <v>39</v>
      </c>
      <c r="C222" s="60">
        <f t="shared" ref="C222:P222" ca="1" si="89">OFFSET($I$306,C218,0)</f>
        <v>-9.5833333333333326E-3</v>
      </c>
      <c r="D222" s="60">
        <f t="shared" ca="1" si="89"/>
        <v>-9.5833333333333326E-3</v>
      </c>
      <c r="E222" s="60">
        <f t="shared" ca="1" si="89"/>
        <v>-9.5833333333333326E-3</v>
      </c>
      <c r="F222" s="60">
        <f t="shared" ca="1" si="89"/>
        <v>-4.4047619047619044E-3</v>
      </c>
      <c r="G222" s="60">
        <f t="shared" ca="1" si="89"/>
        <v>-3.3333333333333335E-3</v>
      </c>
      <c r="H222" s="60" t="str">
        <f t="shared" ca="1" si="89"/>
        <v>Return on capital</v>
      </c>
      <c r="I222" s="60" t="e">
        <f t="shared" ca="1" si="89"/>
        <v>#DIV/0!</v>
      </c>
      <c r="J222" s="60" t="e">
        <f t="shared" ca="1" si="89"/>
        <v>#DIV/0!</v>
      </c>
      <c r="K222" s="60" t="e">
        <f t="shared" ca="1" si="89"/>
        <v>#DIV/0!</v>
      </c>
      <c r="L222" s="60" t="e">
        <f t="shared" ca="1" si="89"/>
        <v>#DIV/0!</v>
      </c>
      <c r="M222" s="60" t="e">
        <f t="shared" ca="1" si="89"/>
        <v>#DIV/0!</v>
      </c>
      <c r="N222" s="60" t="e">
        <f t="shared" ca="1" si="89"/>
        <v>#DIV/0!</v>
      </c>
      <c r="O222" s="60" t="e">
        <f t="shared" ca="1" si="89"/>
        <v>#DIV/0!</v>
      </c>
      <c r="P222" s="180" t="e">
        <f t="shared" ca="1" si="89"/>
        <v>#DIV/0!</v>
      </c>
    </row>
    <row r="223" spans="1:22" hidden="1" x14ac:dyDescent="0.25">
      <c r="A223" s="67">
        <f t="shared" si="85"/>
        <v>2026</v>
      </c>
      <c r="B223" s="226" t="s">
        <v>40</v>
      </c>
      <c r="C223" s="60">
        <f t="shared" ref="C223:P223" ca="1" si="90">OFFSET($D$299,C218,0)</f>
        <v>0.02</v>
      </c>
      <c r="D223" s="60">
        <f t="shared" ca="1" si="90"/>
        <v>0.02</v>
      </c>
      <c r="E223" s="60">
        <f t="shared" ca="1" si="90"/>
        <v>0.02</v>
      </c>
      <c r="F223" s="60">
        <f t="shared" ca="1" si="90"/>
        <v>0.01</v>
      </c>
      <c r="G223" s="60">
        <f t="shared" ca="1" si="90"/>
        <v>5.0000000000000001E-3</v>
      </c>
      <c r="H223" s="60">
        <f t="shared" ca="1" si="90"/>
        <v>1</v>
      </c>
      <c r="I223" s="60" t="e">
        <f t="shared" ca="1" si="90"/>
        <v>#DIV/0!</v>
      </c>
      <c r="J223" s="60" t="e">
        <f t="shared" ca="1" si="90"/>
        <v>#DIV/0!</v>
      </c>
      <c r="K223" s="60" t="e">
        <f t="shared" ca="1" si="90"/>
        <v>#DIV/0!</v>
      </c>
      <c r="L223" s="60" t="e">
        <f t="shared" ca="1" si="90"/>
        <v>#DIV/0!</v>
      </c>
      <c r="M223" s="60" t="e">
        <f t="shared" ca="1" si="90"/>
        <v>#DIV/0!</v>
      </c>
      <c r="N223" s="60" t="e">
        <f t="shared" ca="1" si="90"/>
        <v>#DIV/0!</v>
      </c>
      <c r="O223" s="60" t="e">
        <f t="shared" ca="1" si="90"/>
        <v>#DIV/0!</v>
      </c>
      <c r="P223" s="180" t="e">
        <f t="shared" ca="1" si="90"/>
        <v>#DIV/0!</v>
      </c>
    </row>
    <row r="224" spans="1:22" hidden="1" x14ac:dyDescent="0.25">
      <c r="A224" s="67">
        <f t="shared" si="85"/>
        <v>2027</v>
      </c>
      <c r="B224" s="226" t="s">
        <v>41</v>
      </c>
      <c r="C224" s="229">
        <f t="shared" ref="C224:P224" ca="1" si="91">C220*C219^3+C221*C219^2+C222*C219+C223</f>
        <v>1.4220521063881796E-2</v>
      </c>
      <c r="D224" s="229">
        <f t="shared" ca="1" si="91"/>
        <v>1.4220521063881789E-2</v>
      </c>
      <c r="E224" s="229">
        <f t="shared" ca="1" si="91"/>
        <v>1.4220521063881783E-2</v>
      </c>
      <c r="F224" s="229">
        <f t="shared" ca="1" si="91"/>
        <v>9.3065464219435779E-3</v>
      </c>
      <c r="G224" s="229">
        <f t="shared" ca="1" si="91"/>
        <v>2.3891981034838078E-3</v>
      </c>
      <c r="H224" s="229" t="e">
        <f t="shared" ca="1" si="91"/>
        <v>#VALUE!</v>
      </c>
      <c r="I224" s="229" t="e">
        <f t="shared" ca="1" si="91"/>
        <v>#DIV/0!</v>
      </c>
      <c r="J224" s="229" t="e">
        <f t="shared" ca="1" si="91"/>
        <v>#DIV/0!</v>
      </c>
      <c r="K224" s="229" t="e">
        <f t="shared" ca="1" si="91"/>
        <v>#DIV/0!</v>
      </c>
      <c r="L224" s="229" t="e">
        <f t="shared" ca="1" si="91"/>
        <v>#DIV/0!</v>
      </c>
      <c r="M224" s="229" t="e">
        <f t="shared" ca="1" si="91"/>
        <v>#DIV/0!</v>
      </c>
      <c r="N224" s="229" t="e">
        <f t="shared" ca="1" si="91"/>
        <v>#DIV/0!</v>
      </c>
      <c r="O224" s="229" t="e">
        <f t="shared" ca="1" si="91"/>
        <v>#DIV/0!</v>
      </c>
      <c r="P224" s="230" t="e">
        <f t="shared" ca="1" si="91"/>
        <v>#DIV/0!</v>
      </c>
      <c r="Q224" s="231"/>
      <c r="R224" s="231"/>
      <c r="S224" s="231"/>
      <c r="T224" s="231"/>
      <c r="U224" s="231"/>
      <c r="V224" s="231"/>
    </row>
    <row r="225" spans="1:22" hidden="1" x14ac:dyDescent="0.25">
      <c r="A225" s="67">
        <f t="shared" si="85"/>
        <v>2028</v>
      </c>
      <c r="B225" s="226" t="s">
        <v>42</v>
      </c>
      <c r="C225" s="229">
        <f t="shared" ref="C225:P225" ca="1" si="92">IF(C217&lt;=$C$19,$D$19+(C217-$C$19)*$I$307,IF(C217&gt;=$C$15,IF($D$15=0,0,$I$303*EXP(-$I$302*C217)),C224))</f>
        <v>1.4220521063881796E-2</v>
      </c>
      <c r="D225" s="229">
        <f t="shared" ca="1" si="92"/>
        <v>1.4220521063881789E-2</v>
      </c>
      <c r="E225" s="229">
        <f t="shared" ca="1" si="92"/>
        <v>1.4220521063881783E-2</v>
      </c>
      <c r="F225" s="229">
        <f t="shared" ca="1" si="92"/>
        <v>9.3065464219435779E-3</v>
      </c>
      <c r="G225" s="229">
        <f t="shared" ca="1" si="92"/>
        <v>2.9661877223456081E-3</v>
      </c>
      <c r="H225" s="229">
        <f t="shared" ca="1" si="92"/>
        <v>1.4297008710111629E-5</v>
      </c>
      <c r="I225" s="229" t="e">
        <f t="shared" ca="1" si="92"/>
        <v>#DIV/0!</v>
      </c>
      <c r="J225" s="229" t="e">
        <f t="shared" ca="1" si="92"/>
        <v>#DIV/0!</v>
      </c>
      <c r="K225" s="229" t="e">
        <f t="shared" ca="1" si="92"/>
        <v>#DIV/0!</v>
      </c>
      <c r="L225" s="229" t="e">
        <f t="shared" ca="1" si="92"/>
        <v>#DIV/0!</v>
      </c>
      <c r="M225" s="229" t="e">
        <f t="shared" ca="1" si="92"/>
        <v>#DIV/0!</v>
      </c>
      <c r="N225" s="229" t="e">
        <f t="shared" ca="1" si="92"/>
        <v>#DIV/0!</v>
      </c>
      <c r="O225" s="229" t="e">
        <f t="shared" ca="1" si="92"/>
        <v>#DIV/0!</v>
      </c>
      <c r="P225" s="230" t="e">
        <f t="shared" ca="1" si="92"/>
        <v>#DIV/0!</v>
      </c>
      <c r="Q225" s="231"/>
      <c r="R225" s="231"/>
      <c r="S225" s="231"/>
      <c r="T225" s="231"/>
      <c r="U225" s="231"/>
      <c r="V225" s="231"/>
    </row>
    <row r="226" spans="1:22" hidden="1" x14ac:dyDescent="0.25">
      <c r="A226" s="67">
        <f t="shared" si="85"/>
        <v>2029</v>
      </c>
      <c r="B226" s="226"/>
      <c r="C226" s="60"/>
      <c r="D226" s="60"/>
      <c r="E226" s="60"/>
      <c r="F226" s="60"/>
      <c r="G226" s="60"/>
      <c r="H226" s="60"/>
      <c r="I226" s="60"/>
      <c r="J226" s="60"/>
      <c r="K226" s="60"/>
      <c r="L226" s="60"/>
      <c r="M226" s="60"/>
      <c r="N226" s="60"/>
      <c r="O226" s="60"/>
      <c r="P226" s="180"/>
    </row>
    <row r="227" spans="1:22" hidden="1" x14ac:dyDescent="0.25">
      <c r="A227" s="67">
        <f t="shared" si="85"/>
        <v>2030</v>
      </c>
      <c r="B227" s="219">
        <f>B217+1</f>
        <v>2</v>
      </c>
      <c r="C227" s="157">
        <f t="shared" ref="C227:P227" ca="1" si="93">C$53/(C$49*(C$36+C225))</f>
        <v>10.591667195693296</v>
      </c>
      <c r="D227" s="157">
        <f t="shared" ca="1" si="93"/>
        <v>10.591667195693301</v>
      </c>
      <c r="E227" s="157">
        <f t="shared" ca="1" si="93"/>
        <v>10.591667195693301</v>
      </c>
      <c r="F227" s="157">
        <f t="shared" ca="1" si="93"/>
        <v>13.750885170633538</v>
      </c>
      <c r="G227" s="157">
        <f t="shared" ca="1" si="93"/>
        <v>21.206360417011478</v>
      </c>
      <c r="H227" s="157">
        <f t="shared" ca="1" si="93"/>
        <v>44.769712461489064</v>
      </c>
      <c r="I227" s="157" t="e">
        <f t="shared" ca="1" si="93"/>
        <v>#DIV/0!</v>
      </c>
      <c r="J227" s="157" t="e">
        <f t="shared" ca="1" si="93"/>
        <v>#DIV/0!</v>
      </c>
      <c r="K227" s="157" t="e">
        <f t="shared" ca="1" si="93"/>
        <v>#DIV/0!</v>
      </c>
      <c r="L227" s="157" t="e">
        <f t="shared" ca="1" si="93"/>
        <v>#DIV/0!</v>
      </c>
      <c r="M227" s="157" t="e">
        <f t="shared" ca="1" si="93"/>
        <v>#DIV/0!</v>
      </c>
      <c r="N227" s="157" t="e">
        <f t="shared" ca="1" si="93"/>
        <v>#DIV/0!</v>
      </c>
      <c r="O227" s="157" t="e">
        <f t="shared" ca="1" si="93"/>
        <v>#DIV/0!</v>
      </c>
      <c r="P227" s="232" t="e">
        <f t="shared" ca="1" si="93"/>
        <v>#DIV/0!</v>
      </c>
      <c r="Q227" s="233"/>
      <c r="R227" s="233"/>
      <c r="S227" s="233"/>
      <c r="T227" s="233"/>
      <c r="U227" s="233"/>
      <c r="V227" s="233"/>
    </row>
    <row r="228" spans="1:22" hidden="1" x14ac:dyDescent="0.25">
      <c r="A228" s="67">
        <f t="shared" si="85"/>
        <v>2031</v>
      </c>
      <c r="B228" s="117" t="s">
        <v>24</v>
      </c>
      <c r="C228" s="223">
        <f t="shared" ref="C228:P228" ca="1" si="94">FLOOR((C227-$C$300)/$I$297,1)+1</f>
        <v>7</v>
      </c>
      <c r="D228" s="223">
        <f t="shared" ca="1" si="94"/>
        <v>7</v>
      </c>
      <c r="E228" s="223">
        <f t="shared" ca="1" si="94"/>
        <v>7</v>
      </c>
      <c r="F228" s="223">
        <f t="shared" ca="1" si="94"/>
        <v>9</v>
      </c>
      <c r="G228" s="223">
        <f t="shared" ca="1" si="94"/>
        <v>14</v>
      </c>
      <c r="H228" s="223">
        <f t="shared" ca="1" si="94"/>
        <v>29</v>
      </c>
      <c r="I228" s="223" t="e">
        <f t="shared" ca="1" si="94"/>
        <v>#DIV/0!</v>
      </c>
      <c r="J228" s="223" t="e">
        <f t="shared" ca="1" si="94"/>
        <v>#DIV/0!</v>
      </c>
      <c r="K228" s="223" t="e">
        <f t="shared" ca="1" si="94"/>
        <v>#DIV/0!</v>
      </c>
      <c r="L228" s="223" t="e">
        <f t="shared" ca="1" si="94"/>
        <v>#DIV/0!</v>
      </c>
      <c r="M228" s="223" t="e">
        <f t="shared" ca="1" si="94"/>
        <v>#DIV/0!</v>
      </c>
      <c r="N228" s="223" t="e">
        <f t="shared" ca="1" si="94"/>
        <v>#DIV/0!</v>
      </c>
      <c r="O228" s="223" t="e">
        <f t="shared" ca="1" si="94"/>
        <v>#DIV/0!</v>
      </c>
      <c r="P228" s="224" t="e">
        <f t="shared" ca="1" si="94"/>
        <v>#DIV/0!</v>
      </c>
      <c r="Q228" s="225"/>
      <c r="R228" s="225"/>
      <c r="S228" s="225"/>
      <c r="T228" s="225"/>
      <c r="U228" s="225"/>
      <c r="V228" s="225"/>
    </row>
    <row r="229" spans="1:22" hidden="1" x14ac:dyDescent="0.25">
      <c r="A229" s="67">
        <f t="shared" si="85"/>
        <v>2032</v>
      </c>
      <c r="B229" s="226" t="s">
        <v>36</v>
      </c>
      <c r="C229" s="227">
        <f t="shared" ref="C229:P229" ca="1" si="95">C227-($C$300+(C228-1)*$I$297)</f>
        <v>9.1667195693295511E-2</v>
      </c>
      <c r="D229" s="227">
        <f t="shared" ca="1" si="95"/>
        <v>9.166719569330084E-2</v>
      </c>
      <c r="E229" s="227">
        <f t="shared" ca="1" si="95"/>
        <v>9.166719569330084E-2</v>
      </c>
      <c r="F229" s="227">
        <f t="shared" ca="1" si="95"/>
        <v>0.25088517063353777</v>
      </c>
      <c r="G229" s="227">
        <f t="shared" ca="1" si="95"/>
        <v>0.20636041701147789</v>
      </c>
      <c r="H229" s="227">
        <f t="shared" ca="1" si="95"/>
        <v>1.269712461489064</v>
      </c>
      <c r="I229" s="227" t="e">
        <f t="shared" ca="1" si="95"/>
        <v>#DIV/0!</v>
      </c>
      <c r="J229" s="227" t="e">
        <f t="shared" ca="1" si="95"/>
        <v>#DIV/0!</v>
      </c>
      <c r="K229" s="227" t="e">
        <f t="shared" ca="1" si="95"/>
        <v>#DIV/0!</v>
      </c>
      <c r="L229" s="227" t="e">
        <f t="shared" ca="1" si="95"/>
        <v>#DIV/0!</v>
      </c>
      <c r="M229" s="227" t="e">
        <f t="shared" ca="1" si="95"/>
        <v>#DIV/0!</v>
      </c>
      <c r="N229" s="227" t="e">
        <f t="shared" ca="1" si="95"/>
        <v>#DIV/0!</v>
      </c>
      <c r="O229" s="227" t="e">
        <f t="shared" ca="1" si="95"/>
        <v>#DIV/0!</v>
      </c>
      <c r="P229" s="228" t="e">
        <f t="shared" ca="1" si="95"/>
        <v>#DIV/0!</v>
      </c>
      <c r="Q229" s="110"/>
      <c r="R229" s="110"/>
      <c r="S229" s="110"/>
      <c r="T229" s="110"/>
      <c r="U229" s="110"/>
      <c r="V229" s="110"/>
    </row>
    <row r="230" spans="1:22" hidden="1" x14ac:dyDescent="0.25">
      <c r="A230" s="67">
        <f t="shared" si="85"/>
        <v>2033</v>
      </c>
      <c r="B230" s="226" t="s">
        <v>38</v>
      </c>
      <c r="C230" s="60">
        <f t="shared" ref="C230:P230" ca="1" si="96">OFFSET($G$306,C228,0)</f>
        <v>0</v>
      </c>
      <c r="D230" s="60">
        <f t="shared" ca="1" si="96"/>
        <v>0</v>
      </c>
      <c r="E230" s="60">
        <f t="shared" ca="1" si="96"/>
        <v>0</v>
      </c>
      <c r="F230" s="60">
        <f t="shared" ca="1" si="96"/>
        <v>0</v>
      </c>
      <c r="G230" s="60">
        <f t="shared" ca="1" si="96"/>
        <v>0.10443836645034804</v>
      </c>
      <c r="H230" s="60" t="str">
        <f t="shared" ca="1" si="96"/>
        <v>row_leverage</v>
      </c>
      <c r="I230" s="60" t="e">
        <f t="shared" ca="1" si="96"/>
        <v>#DIV/0!</v>
      </c>
      <c r="J230" s="60" t="e">
        <f t="shared" ca="1" si="96"/>
        <v>#DIV/0!</v>
      </c>
      <c r="K230" s="60" t="e">
        <f t="shared" ca="1" si="96"/>
        <v>#DIV/0!</v>
      </c>
      <c r="L230" s="60" t="e">
        <f t="shared" ca="1" si="96"/>
        <v>#DIV/0!</v>
      </c>
      <c r="M230" s="60" t="e">
        <f t="shared" ca="1" si="96"/>
        <v>#DIV/0!</v>
      </c>
      <c r="N230" s="60" t="e">
        <f t="shared" ca="1" si="96"/>
        <v>#DIV/0!</v>
      </c>
      <c r="O230" s="60" t="e">
        <f t="shared" ca="1" si="96"/>
        <v>#DIV/0!</v>
      </c>
      <c r="P230" s="180" t="e">
        <f t="shared" ca="1" si="96"/>
        <v>#DIV/0!</v>
      </c>
    </row>
    <row r="231" spans="1:22" hidden="1" x14ac:dyDescent="0.25">
      <c r="A231" s="67">
        <f t="shared" si="85"/>
        <v>2034</v>
      </c>
      <c r="B231" s="117" t="s">
        <v>37</v>
      </c>
      <c r="C231" s="60">
        <f t="shared" ref="C231:P231" ca="1" si="97">OFFSET($H$306,C228,0)</f>
        <v>0</v>
      </c>
      <c r="D231" s="60">
        <f t="shared" ca="1" si="97"/>
        <v>0</v>
      </c>
      <c r="E231" s="60">
        <f t="shared" ca="1" si="97"/>
        <v>0</v>
      </c>
      <c r="F231" s="60">
        <f t="shared" ca="1" si="97"/>
        <v>0</v>
      </c>
      <c r="G231" s="60">
        <f t="shared" ca="1" si="97"/>
        <v>0.98896085162280323</v>
      </c>
      <c r="H231" s="60">
        <f t="shared" ca="1" si="97"/>
        <v>0</v>
      </c>
      <c r="I231" s="60" t="e">
        <f t="shared" ca="1" si="97"/>
        <v>#DIV/0!</v>
      </c>
      <c r="J231" s="60" t="e">
        <f t="shared" ca="1" si="97"/>
        <v>#DIV/0!</v>
      </c>
      <c r="K231" s="60" t="e">
        <f t="shared" ca="1" si="97"/>
        <v>#DIV/0!</v>
      </c>
      <c r="L231" s="60" t="e">
        <f t="shared" ca="1" si="97"/>
        <v>#DIV/0!</v>
      </c>
      <c r="M231" s="60" t="e">
        <f t="shared" ca="1" si="97"/>
        <v>#DIV/0!</v>
      </c>
      <c r="N231" s="60" t="e">
        <f t="shared" ca="1" si="97"/>
        <v>#DIV/0!</v>
      </c>
      <c r="O231" s="60" t="e">
        <f t="shared" ca="1" si="97"/>
        <v>#DIV/0!</v>
      </c>
      <c r="P231" s="180" t="e">
        <f t="shared" ca="1" si="97"/>
        <v>#DIV/0!</v>
      </c>
    </row>
    <row r="232" spans="1:22" hidden="1" x14ac:dyDescent="0.25">
      <c r="A232" s="67">
        <f t="shared" si="85"/>
        <v>2035</v>
      </c>
      <c r="B232" s="226" t="s">
        <v>39</v>
      </c>
      <c r="C232" s="60">
        <f t="shared" ref="C232:P232" ca="1" si="98">OFFSET($I$306,C228,0)</f>
        <v>0</v>
      </c>
      <c r="D232" s="60">
        <f t="shared" ca="1" si="98"/>
        <v>0</v>
      </c>
      <c r="E232" s="60">
        <f t="shared" ca="1" si="98"/>
        <v>0</v>
      </c>
      <c r="F232" s="60">
        <f t="shared" ca="1" si="98"/>
        <v>0</v>
      </c>
      <c r="G232" s="60">
        <f t="shared" ca="1" si="98"/>
        <v>0.1200000000020001</v>
      </c>
      <c r="H232" s="60" t="str">
        <f t="shared" ca="1" si="98"/>
        <v>Debt / equity ratio</v>
      </c>
      <c r="I232" s="60" t="e">
        <f t="shared" ca="1" si="98"/>
        <v>#DIV/0!</v>
      </c>
      <c r="J232" s="60" t="e">
        <f t="shared" ca="1" si="98"/>
        <v>#DIV/0!</v>
      </c>
      <c r="K232" s="60" t="e">
        <f t="shared" ca="1" si="98"/>
        <v>#DIV/0!</v>
      </c>
      <c r="L232" s="60" t="e">
        <f t="shared" ca="1" si="98"/>
        <v>#DIV/0!</v>
      </c>
      <c r="M232" s="60" t="e">
        <f t="shared" ca="1" si="98"/>
        <v>#DIV/0!</v>
      </c>
      <c r="N232" s="60" t="e">
        <f t="shared" ca="1" si="98"/>
        <v>#DIV/0!</v>
      </c>
      <c r="O232" s="60" t="e">
        <f t="shared" ca="1" si="98"/>
        <v>#DIV/0!</v>
      </c>
      <c r="P232" s="180" t="e">
        <f t="shared" ca="1" si="98"/>
        <v>#DIV/0!</v>
      </c>
    </row>
    <row r="233" spans="1:22" hidden="1" x14ac:dyDescent="0.25">
      <c r="A233" s="67">
        <f t="shared" si="85"/>
        <v>2036</v>
      </c>
      <c r="B233" s="226" t="s">
        <v>40</v>
      </c>
      <c r="C233" s="60">
        <f t="shared" ref="C233:P233" ca="1" si="99">OFFSET($D$299,C228,0)</f>
        <v>0</v>
      </c>
      <c r="D233" s="60">
        <f t="shared" ca="1" si="99"/>
        <v>0</v>
      </c>
      <c r="E233" s="60">
        <f t="shared" ca="1" si="99"/>
        <v>0</v>
      </c>
      <c r="F233" s="60">
        <f t="shared" ca="1" si="99"/>
        <v>0</v>
      </c>
      <c r="G233" s="60">
        <f t="shared" ca="1" si="99"/>
        <v>0</v>
      </c>
      <c r="H233" s="60">
        <f t="shared" ca="1" si="99"/>
        <v>5.0062761490697447</v>
      </c>
      <c r="I233" s="60" t="e">
        <f t="shared" ca="1" si="99"/>
        <v>#DIV/0!</v>
      </c>
      <c r="J233" s="60" t="e">
        <f t="shared" ca="1" si="99"/>
        <v>#DIV/0!</v>
      </c>
      <c r="K233" s="60" t="e">
        <f t="shared" ca="1" si="99"/>
        <v>#DIV/0!</v>
      </c>
      <c r="L233" s="60" t="e">
        <f t="shared" ca="1" si="99"/>
        <v>#DIV/0!</v>
      </c>
      <c r="M233" s="60" t="e">
        <f t="shared" ca="1" si="99"/>
        <v>#DIV/0!</v>
      </c>
      <c r="N233" s="60" t="e">
        <f t="shared" ca="1" si="99"/>
        <v>#DIV/0!</v>
      </c>
      <c r="O233" s="60" t="e">
        <f t="shared" ca="1" si="99"/>
        <v>#DIV/0!</v>
      </c>
      <c r="P233" s="180" t="e">
        <f t="shared" ca="1" si="99"/>
        <v>#DIV/0!</v>
      </c>
    </row>
    <row r="234" spans="1:22" hidden="1" x14ac:dyDescent="0.25">
      <c r="A234" s="67">
        <f t="shared" si="85"/>
        <v>2037</v>
      </c>
      <c r="B234" s="226" t="s">
        <v>41</v>
      </c>
      <c r="C234" s="229">
        <f t="shared" ref="C234:P234" ca="1" si="100">C230*C229^3+C231*C229^2+C232*C229+C233</f>
        <v>0</v>
      </c>
      <c r="D234" s="229">
        <f t="shared" ca="1" si="100"/>
        <v>0</v>
      </c>
      <c r="E234" s="229">
        <f t="shared" ca="1" si="100"/>
        <v>0</v>
      </c>
      <c r="F234" s="229">
        <f t="shared" ca="1" si="100"/>
        <v>0</v>
      </c>
      <c r="G234" s="229">
        <f t="shared" ca="1" si="100"/>
        <v>6.7795555211955377E-2</v>
      </c>
      <c r="H234" s="229" t="e">
        <f t="shared" ca="1" si="100"/>
        <v>#VALUE!</v>
      </c>
      <c r="I234" s="229" t="e">
        <f t="shared" ca="1" si="100"/>
        <v>#DIV/0!</v>
      </c>
      <c r="J234" s="229" t="e">
        <f t="shared" ca="1" si="100"/>
        <v>#DIV/0!</v>
      </c>
      <c r="K234" s="229" t="e">
        <f t="shared" ca="1" si="100"/>
        <v>#DIV/0!</v>
      </c>
      <c r="L234" s="229" t="e">
        <f t="shared" ca="1" si="100"/>
        <v>#DIV/0!</v>
      </c>
      <c r="M234" s="229" t="e">
        <f t="shared" ca="1" si="100"/>
        <v>#DIV/0!</v>
      </c>
      <c r="N234" s="229" t="e">
        <f t="shared" ca="1" si="100"/>
        <v>#DIV/0!</v>
      </c>
      <c r="O234" s="229" t="e">
        <f t="shared" ca="1" si="100"/>
        <v>#DIV/0!</v>
      </c>
      <c r="P234" s="230" t="e">
        <f t="shared" ca="1" si="100"/>
        <v>#DIV/0!</v>
      </c>
      <c r="Q234" s="231"/>
      <c r="R234" s="231"/>
      <c r="S234" s="231"/>
      <c r="T234" s="231"/>
      <c r="U234" s="231"/>
      <c r="V234" s="231"/>
    </row>
    <row r="235" spans="1:22" hidden="1" x14ac:dyDescent="0.25">
      <c r="A235" s="67">
        <f t="shared" si="85"/>
        <v>2038</v>
      </c>
      <c r="B235" s="226" t="s">
        <v>42</v>
      </c>
      <c r="C235" s="229">
        <f t="shared" ref="C235:P235" ca="1" si="101">IF(C227&lt;=$C$19,$D$19+(C227-$C$19)*$I$307,IF(C227&gt;=$C$15,IF($D$15=0,0,$I$303*EXP(-$I$302*C227)),C234))</f>
        <v>6.3656194058885486E-4</v>
      </c>
      <c r="D235" s="229">
        <f t="shared" ca="1" si="101"/>
        <v>6.3656194058885269E-4</v>
      </c>
      <c r="E235" s="229">
        <f t="shared" ca="1" si="101"/>
        <v>6.3656194058885269E-4</v>
      </c>
      <c r="F235" s="229">
        <f t="shared" ca="1" si="101"/>
        <v>7.7473536303448803E-5</v>
      </c>
      <c r="G235" s="229">
        <f t="shared" ca="1" si="101"/>
        <v>5.3773983173274694E-7</v>
      </c>
      <c r="H235" s="229">
        <f t="shared" ca="1" si="101"/>
        <v>8.0962335608042619E-14</v>
      </c>
      <c r="I235" s="229" t="e">
        <f t="shared" ca="1" si="101"/>
        <v>#DIV/0!</v>
      </c>
      <c r="J235" s="229" t="e">
        <f t="shared" ca="1" si="101"/>
        <v>#DIV/0!</v>
      </c>
      <c r="K235" s="229" t="e">
        <f t="shared" ca="1" si="101"/>
        <v>#DIV/0!</v>
      </c>
      <c r="L235" s="229" t="e">
        <f t="shared" ca="1" si="101"/>
        <v>#DIV/0!</v>
      </c>
      <c r="M235" s="229" t="e">
        <f t="shared" ca="1" si="101"/>
        <v>#DIV/0!</v>
      </c>
      <c r="N235" s="229" t="e">
        <f t="shared" ca="1" si="101"/>
        <v>#DIV/0!</v>
      </c>
      <c r="O235" s="229" t="e">
        <f t="shared" ca="1" si="101"/>
        <v>#DIV/0!</v>
      </c>
      <c r="P235" s="230" t="e">
        <f t="shared" ca="1" si="101"/>
        <v>#DIV/0!</v>
      </c>
      <c r="Q235" s="231"/>
      <c r="R235" s="231"/>
      <c r="S235" s="231"/>
      <c r="T235" s="231"/>
      <c r="U235" s="231"/>
      <c r="V235" s="231"/>
    </row>
    <row r="236" spans="1:22" hidden="1" x14ac:dyDescent="0.25">
      <c r="A236" s="67">
        <f t="shared" si="85"/>
        <v>2039</v>
      </c>
      <c r="B236" s="117"/>
      <c r="C236" s="157"/>
      <c r="D236" s="157"/>
      <c r="E236" s="157"/>
      <c r="F236" s="157"/>
      <c r="G236" s="157"/>
      <c r="H236" s="157"/>
      <c r="I236" s="157"/>
      <c r="J236" s="157"/>
      <c r="K236" s="157"/>
      <c r="L236" s="157"/>
      <c r="M236" s="157"/>
      <c r="N236" s="157"/>
      <c r="O236" s="157"/>
      <c r="P236" s="232"/>
      <c r="Q236" s="233"/>
      <c r="R236" s="233"/>
      <c r="S236" s="233"/>
      <c r="T236" s="233"/>
      <c r="U236" s="233"/>
      <c r="V236" s="233"/>
    </row>
    <row r="237" spans="1:22" hidden="1" x14ac:dyDescent="0.25">
      <c r="A237" s="67">
        <f t="shared" si="85"/>
        <v>2040</v>
      </c>
      <c r="B237" s="219">
        <f>B227+1</f>
        <v>3</v>
      </c>
      <c r="C237" s="157">
        <f t="shared" ref="C237:P237" ca="1" si="102">C$53/(C$49*(C$36+C235))</f>
        <v>14.132241677465895</v>
      </c>
      <c r="D237" s="157">
        <f t="shared" ca="1" si="102"/>
        <v>14.132241677465899</v>
      </c>
      <c r="E237" s="157">
        <f t="shared" ca="1" si="102"/>
        <v>14.132241677465901</v>
      </c>
      <c r="F237" s="157">
        <f t="shared" ca="1" si="102"/>
        <v>16.917450083137009</v>
      </c>
      <c r="G237" s="157">
        <f t="shared" ca="1" si="102"/>
        <v>22.778605340540786</v>
      </c>
      <c r="H237" s="157">
        <f t="shared" ca="1" si="102"/>
        <v>44.785714285623691</v>
      </c>
      <c r="I237" s="157" t="e">
        <f t="shared" ca="1" si="102"/>
        <v>#DIV/0!</v>
      </c>
      <c r="J237" s="157" t="e">
        <f t="shared" ca="1" si="102"/>
        <v>#DIV/0!</v>
      </c>
      <c r="K237" s="157" t="e">
        <f t="shared" ca="1" si="102"/>
        <v>#DIV/0!</v>
      </c>
      <c r="L237" s="157" t="e">
        <f t="shared" ca="1" si="102"/>
        <v>#DIV/0!</v>
      </c>
      <c r="M237" s="157" t="e">
        <f t="shared" ca="1" si="102"/>
        <v>#DIV/0!</v>
      </c>
      <c r="N237" s="157" t="e">
        <f t="shared" ca="1" si="102"/>
        <v>#DIV/0!</v>
      </c>
      <c r="O237" s="157" t="e">
        <f t="shared" ca="1" si="102"/>
        <v>#DIV/0!</v>
      </c>
      <c r="P237" s="232" t="e">
        <f t="shared" ca="1" si="102"/>
        <v>#DIV/0!</v>
      </c>
      <c r="Q237" s="233"/>
      <c r="R237" s="233"/>
      <c r="S237" s="233"/>
      <c r="T237" s="233"/>
      <c r="U237" s="233"/>
      <c r="V237" s="233"/>
    </row>
    <row r="238" spans="1:22" hidden="1" x14ac:dyDescent="0.25">
      <c r="A238" s="67">
        <f t="shared" si="85"/>
        <v>2041</v>
      </c>
      <c r="B238" s="117" t="s">
        <v>24</v>
      </c>
      <c r="C238" s="223">
        <f t="shared" ref="C238:P238" ca="1" si="103">FLOOR((C237-$C$300)/$I$297,1)+1</f>
        <v>9</v>
      </c>
      <c r="D238" s="223">
        <f t="shared" ca="1" si="103"/>
        <v>9</v>
      </c>
      <c r="E238" s="223">
        <f t="shared" ca="1" si="103"/>
        <v>9</v>
      </c>
      <c r="F238" s="223">
        <f t="shared" ca="1" si="103"/>
        <v>11</v>
      </c>
      <c r="G238" s="223">
        <f t="shared" ca="1" si="103"/>
        <v>15</v>
      </c>
      <c r="H238" s="223">
        <f t="shared" ca="1" si="103"/>
        <v>29</v>
      </c>
      <c r="I238" s="223" t="e">
        <f t="shared" ca="1" si="103"/>
        <v>#DIV/0!</v>
      </c>
      <c r="J238" s="223" t="e">
        <f t="shared" ca="1" si="103"/>
        <v>#DIV/0!</v>
      </c>
      <c r="K238" s="223" t="e">
        <f t="shared" ca="1" si="103"/>
        <v>#DIV/0!</v>
      </c>
      <c r="L238" s="223" t="e">
        <f t="shared" ca="1" si="103"/>
        <v>#DIV/0!</v>
      </c>
      <c r="M238" s="223" t="e">
        <f t="shared" ca="1" si="103"/>
        <v>#DIV/0!</v>
      </c>
      <c r="N238" s="223" t="e">
        <f t="shared" ca="1" si="103"/>
        <v>#DIV/0!</v>
      </c>
      <c r="O238" s="223" t="e">
        <f t="shared" ca="1" si="103"/>
        <v>#DIV/0!</v>
      </c>
      <c r="P238" s="224" t="e">
        <f t="shared" ca="1" si="103"/>
        <v>#DIV/0!</v>
      </c>
      <c r="Q238" s="225"/>
      <c r="R238" s="225"/>
      <c r="S238" s="225"/>
      <c r="T238" s="225"/>
      <c r="U238" s="225"/>
      <c r="V238" s="225"/>
    </row>
    <row r="239" spans="1:22" hidden="1" x14ac:dyDescent="0.25">
      <c r="A239" s="67">
        <f t="shared" si="85"/>
        <v>2042</v>
      </c>
      <c r="B239" s="226" t="s">
        <v>36</v>
      </c>
      <c r="C239" s="227">
        <f t="shared" ref="C239:P239" ca="1" si="104">C237-($C$300+(C238-1)*$I$297)</f>
        <v>0.63224167746589544</v>
      </c>
      <c r="D239" s="227">
        <f t="shared" ca="1" si="104"/>
        <v>0.63224167746589899</v>
      </c>
      <c r="E239" s="227">
        <f t="shared" ca="1" si="104"/>
        <v>0.63224167746590076</v>
      </c>
      <c r="F239" s="227">
        <f t="shared" ca="1" si="104"/>
        <v>0.41745008313700893</v>
      </c>
      <c r="G239" s="227">
        <f t="shared" ca="1" si="104"/>
        <v>0.27860534054078556</v>
      </c>
      <c r="H239" s="227">
        <f t="shared" ca="1" si="104"/>
        <v>1.2857142856236905</v>
      </c>
      <c r="I239" s="227" t="e">
        <f t="shared" ca="1" si="104"/>
        <v>#DIV/0!</v>
      </c>
      <c r="J239" s="227" t="e">
        <f t="shared" ca="1" si="104"/>
        <v>#DIV/0!</v>
      </c>
      <c r="K239" s="227" t="e">
        <f t="shared" ca="1" si="104"/>
        <v>#DIV/0!</v>
      </c>
      <c r="L239" s="227" t="e">
        <f t="shared" ca="1" si="104"/>
        <v>#DIV/0!</v>
      </c>
      <c r="M239" s="227" t="e">
        <f t="shared" ca="1" si="104"/>
        <v>#DIV/0!</v>
      </c>
      <c r="N239" s="227" t="e">
        <f t="shared" ca="1" si="104"/>
        <v>#DIV/0!</v>
      </c>
      <c r="O239" s="227" t="e">
        <f t="shared" ca="1" si="104"/>
        <v>#DIV/0!</v>
      </c>
      <c r="P239" s="228" t="e">
        <f t="shared" ca="1" si="104"/>
        <v>#DIV/0!</v>
      </c>
      <c r="Q239" s="110"/>
      <c r="R239" s="110"/>
      <c r="S239" s="110"/>
      <c r="T239" s="110"/>
      <c r="U239" s="110"/>
      <c r="V239" s="110"/>
    </row>
    <row r="240" spans="1:22" hidden="1" x14ac:dyDescent="0.25">
      <c r="A240" s="67">
        <f t="shared" si="85"/>
        <v>2043</v>
      </c>
      <c r="B240" s="226" t="s">
        <v>38</v>
      </c>
      <c r="C240" s="60">
        <f t="shared" ref="C240:P240" ca="1" si="105">OFFSET($G$306,C238,0)</f>
        <v>0</v>
      </c>
      <c r="D240" s="60">
        <f t="shared" ca="1" si="105"/>
        <v>0</v>
      </c>
      <c r="E240" s="60">
        <f t="shared" ca="1" si="105"/>
        <v>0</v>
      </c>
      <c r="F240" s="60">
        <f t="shared" ca="1" si="105"/>
        <v>9.9085993822613502E-2</v>
      </c>
      <c r="G240" s="60">
        <f t="shared" ca="1" si="105"/>
        <v>0.10235486311113892</v>
      </c>
      <c r="H240" s="60" t="str">
        <f t="shared" ca="1" si="105"/>
        <v>row_leverage</v>
      </c>
      <c r="I240" s="60" t="e">
        <f t="shared" ca="1" si="105"/>
        <v>#DIV/0!</v>
      </c>
      <c r="J240" s="60" t="e">
        <f t="shared" ca="1" si="105"/>
        <v>#DIV/0!</v>
      </c>
      <c r="K240" s="60" t="e">
        <f t="shared" ca="1" si="105"/>
        <v>#DIV/0!</v>
      </c>
      <c r="L240" s="60" t="e">
        <f t="shared" ca="1" si="105"/>
        <v>#DIV/0!</v>
      </c>
      <c r="M240" s="60" t="e">
        <f t="shared" ca="1" si="105"/>
        <v>#DIV/0!</v>
      </c>
      <c r="N240" s="60" t="e">
        <f t="shared" ca="1" si="105"/>
        <v>#DIV/0!</v>
      </c>
      <c r="O240" s="60" t="e">
        <f t="shared" ca="1" si="105"/>
        <v>#DIV/0!</v>
      </c>
      <c r="P240" s="180" t="e">
        <f t="shared" ca="1" si="105"/>
        <v>#DIV/0!</v>
      </c>
    </row>
    <row r="241" spans="1:22" hidden="1" x14ac:dyDescent="0.25">
      <c r="A241" s="67">
        <f t="shared" si="85"/>
        <v>2044</v>
      </c>
      <c r="B241" s="117" t="s">
        <v>37</v>
      </c>
      <c r="C241" s="60">
        <f t="shared" ref="C241:P241" ca="1" si="106">OFFSET($H$306,C238,0)</f>
        <v>0</v>
      </c>
      <c r="D241" s="60">
        <f t="shared" ca="1" si="106"/>
        <v>0</v>
      </c>
      <c r="E241" s="60">
        <f t="shared" ca="1" si="106"/>
        <v>0</v>
      </c>
      <c r="F241" s="60">
        <f t="shared" ca="1" si="106"/>
        <v>1.0078792165068426</v>
      </c>
      <c r="G241" s="60">
        <f t="shared" ca="1" si="106"/>
        <v>0.99613484905039651</v>
      </c>
      <c r="H241" s="60">
        <f t="shared" ca="1" si="106"/>
        <v>0</v>
      </c>
      <c r="I241" s="60" t="e">
        <f t="shared" ca="1" si="106"/>
        <v>#DIV/0!</v>
      </c>
      <c r="J241" s="60" t="e">
        <f t="shared" ca="1" si="106"/>
        <v>#DIV/0!</v>
      </c>
      <c r="K241" s="60" t="e">
        <f t="shared" ca="1" si="106"/>
        <v>#DIV/0!</v>
      </c>
      <c r="L241" s="60" t="e">
        <f t="shared" ca="1" si="106"/>
        <v>#DIV/0!</v>
      </c>
      <c r="M241" s="60" t="e">
        <f t="shared" ca="1" si="106"/>
        <v>#DIV/0!</v>
      </c>
      <c r="N241" s="60" t="e">
        <f t="shared" ca="1" si="106"/>
        <v>#DIV/0!</v>
      </c>
      <c r="O241" s="60" t="e">
        <f t="shared" ca="1" si="106"/>
        <v>#DIV/0!</v>
      </c>
      <c r="P241" s="180" t="e">
        <f t="shared" ca="1" si="106"/>
        <v>#DIV/0!</v>
      </c>
    </row>
    <row r="242" spans="1:22" hidden="1" x14ac:dyDescent="0.25">
      <c r="A242" s="67">
        <f t="shared" si="85"/>
        <v>2045</v>
      </c>
      <c r="B242" s="226" t="s">
        <v>39</v>
      </c>
      <c r="C242" s="60">
        <f t="shared" ref="C242:P242" ca="1" si="107">OFFSET($I$306,C238,0)</f>
        <v>0</v>
      </c>
      <c r="D242" s="60">
        <f t="shared" ca="1" si="107"/>
        <v>0</v>
      </c>
      <c r="E242" s="60">
        <f t="shared" ca="1" si="107"/>
        <v>0</v>
      </c>
      <c r="F242" s="60">
        <f t="shared" ca="1" si="107"/>
        <v>0.120000000005</v>
      </c>
      <c r="G242" s="60">
        <f t="shared" ca="1" si="107"/>
        <v>0.1200000000030001</v>
      </c>
      <c r="H242" s="60" t="str">
        <f t="shared" ca="1" si="107"/>
        <v>Debt / equity ratio</v>
      </c>
      <c r="I242" s="60" t="e">
        <f t="shared" ca="1" si="107"/>
        <v>#DIV/0!</v>
      </c>
      <c r="J242" s="60" t="e">
        <f t="shared" ca="1" si="107"/>
        <v>#DIV/0!</v>
      </c>
      <c r="K242" s="60" t="e">
        <f t="shared" ca="1" si="107"/>
        <v>#DIV/0!</v>
      </c>
      <c r="L242" s="60" t="e">
        <f t="shared" ca="1" si="107"/>
        <v>#DIV/0!</v>
      </c>
      <c r="M242" s="60" t="e">
        <f t="shared" ca="1" si="107"/>
        <v>#DIV/0!</v>
      </c>
      <c r="N242" s="60" t="e">
        <f t="shared" ca="1" si="107"/>
        <v>#DIV/0!</v>
      </c>
      <c r="O242" s="60" t="e">
        <f t="shared" ca="1" si="107"/>
        <v>#DIV/0!</v>
      </c>
      <c r="P242" s="180" t="e">
        <f t="shared" ca="1" si="107"/>
        <v>#DIV/0!</v>
      </c>
    </row>
    <row r="243" spans="1:22" hidden="1" x14ac:dyDescent="0.25">
      <c r="B243" s="226" t="s">
        <v>40</v>
      </c>
      <c r="C243" s="60">
        <f t="shared" ref="C243:P243" ca="1" si="108">OFFSET($D$299,C238,0)</f>
        <v>0</v>
      </c>
      <c r="D243" s="60">
        <f t="shared" ca="1" si="108"/>
        <v>0</v>
      </c>
      <c r="E243" s="60">
        <f t="shared" ca="1" si="108"/>
        <v>0</v>
      </c>
      <c r="F243" s="60">
        <f t="shared" ca="1" si="108"/>
        <v>4</v>
      </c>
      <c r="G243" s="60">
        <f t="shared" ca="1" si="108"/>
        <v>0</v>
      </c>
      <c r="H243" s="60">
        <f t="shared" ca="1" si="108"/>
        <v>5.0062761490697447</v>
      </c>
      <c r="I243" s="60" t="e">
        <f t="shared" ca="1" si="108"/>
        <v>#DIV/0!</v>
      </c>
      <c r="J243" s="60" t="e">
        <f t="shared" ca="1" si="108"/>
        <v>#DIV/0!</v>
      </c>
      <c r="K243" s="60" t="e">
        <f t="shared" ca="1" si="108"/>
        <v>#DIV/0!</v>
      </c>
      <c r="L243" s="60" t="e">
        <f t="shared" ca="1" si="108"/>
        <v>#DIV/0!</v>
      </c>
      <c r="M243" s="60" t="e">
        <f t="shared" ca="1" si="108"/>
        <v>#DIV/0!</v>
      </c>
      <c r="N243" s="60" t="e">
        <f t="shared" ca="1" si="108"/>
        <v>#DIV/0!</v>
      </c>
      <c r="O243" s="60" t="e">
        <f t="shared" ca="1" si="108"/>
        <v>#DIV/0!</v>
      </c>
      <c r="P243" s="180" t="e">
        <f t="shared" ca="1" si="108"/>
        <v>#DIV/0!</v>
      </c>
    </row>
    <row r="244" spans="1:22" hidden="1" x14ac:dyDescent="0.25">
      <c r="B244" s="226" t="s">
        <v>41</v>
      </c>
      <c r="C244" s="229">
        <f t="shared" ref="C244:P244" ca="1" si="109">C240*C239^3+C241*C239^2+C242*C239+C243</f>
        <v>0</v>
      </c>
      <c r="D244" s="229">
        <f t="shared" ca="1" si="109"/>
        <v>0</v>
      </c>
      <c r="E244" s="229">
        <f t="shared" ca="1" si="109"/>
        <v>0</v>
      </c>
      <c r="F244" s="229">
        <f t="shared" ca="1" si="109"/>
        <v>4.2329398351963414</v>
      </c>
      <c r="G244" s="229">
        <f t="shared" ca="1" si="109"/>
        <v>0.11296704607925287</v>
      </c>
      <c r="H244" s="229" t="e">
        <f t="shared" ca="1" si="109"/>
        <v>#VALUE!</v>
      </c>
      <c r="I244" s="229" t="e">
        <f t="shared" ca="1" si="109"/>
        <v>#DIV/0!</v>
      </c>
      <c r="J244" s="229" t="e">
        <f t="shared" ca="1" si="109"/>
        <v>#DIV/0!</v>
      </c>
      <c r="K244" s="229" t="e">
        <f t="shared" ca="1" si="109"/>
        <v>#DIV/0!</v>
      </c>
      <c r="L244" s="229" t="e">
        <f t="shared" ca="1" si="109"/>
        <v>#DIV/0!</v>
      </c>
      <c r="M244" s="229" t="e">
        <f t="shared" ca="1" si="109"/>
        <v>#DIV/0!</v>
      </c>
      <c r="N244" s="229" t="e">
        <f t="shared" ca="1" si="109"/>
        <v>#DIV/0!</v>
      </c>
      <c r="O244" s="229" t="e">
        <f t="shared" ca="1" si="109"/>
        <v>#DIV/0!</v>
      </c>
      <c r="P244" s="230" t="e">
        <f t="shared" ca="1" si="109"/>
        <v>#DIV/0!</v>
      </c>
      <c r="Q244" s="231"/>
      <c r="R244" s="231"/>
      <c r="S244" s="231"/>
      <c r="T244" s="231"/>
      <c r="U244" s="231"/>
      <c r="V244" s="231"/>
    </row>
    <row r="245" spans="1:22" hidden="1" x14ac:dyDescent="0.25">
      <c r="B245" s="226" t="s">
        <v>42</v>
      </c>
      <c r="C245" s="229">
        <f t="shared" ref="C245:P245" ca="1" si="110">IF(C237&lt;=$C$19,$D$19+(C237-$C$19)*$I$307,IF(C237&gt;=$C$15,IF($D$15=0,0,$I$303*EXP(-$I$302*C237)),C244))</f>
        <v>6.0081305691758741E-5</v>
      </c>
      <c r="D245" s="229">
        <f t="shared" ca="1" si="110"/>
        <v>6.0081305691758639E-5</v>
      </c>
      <c r="E245" s="229">
        <f t="shared" ca="1" si="110"/>
        <v>6.0081305691758524E-5</v>
      </c>
      <c r="F245" s="229">
        <f t="shared" ca="1" si="110"/>
        <v>9.3829398991091846E-6</v>
      </c>
      <c r="G245" s="229">
        <f t="shared" ca="1" si="110"/>
        <v>1.8852140912609332E-7</v>
      </c>
      <c r="H245" s="229">
        <f t="shared" ca="1" si="110"/>
        <v>8.0103229473291502E-14</v>
      </c>
      <c r="I245" s="229" t="e">
        <f t="shared" ca="1" si="110"/>
        <v>#DIV/0!</v>
      </c>
      <c r="J245" s="229" t="e">
        <f t="shared" ca="1" si="110"/>
        <v>#DIV/0!</v>
      </c>
      <c r="K245" s="229" t="e">
        <f t="shared" ca="1" si="110"/>
        <v>#DIV/0!</v>
      </c>
      <c r="L245" s="229" t="e">
        <f t="shared" ca="1" si="110"/>
        <v>#DIV/0!</v>
      </c>
      <c r="M245" s="229" t="e">
        <f t="shared" ca="1" si="110"/>
        <v>#DIV/0!</v>
      </c>
      <c r="N245" s="229" t="e">
        <f t="shared" ca="1" si="110"/>
        <v>#DIV/0!</v>
      </c>
      <c r="O245" s="229" t="e">
        <f t="shared" ca="1" si="110"/>
        <v>#DIV/0!</v>
      </c>
      <c r="P245" s="230" t="e">
        <f t="shared" ca="1" si="110"/>
        <v>#DIV/0!</v>
      </c>
      <c r="Q245" s="231"/>
      <c r="R245" s="231"/>
      <c r="S245" s="231"/>
      <c r="T245" s="231"/>
      <c r="U245" s="231"/>
      <c r="V245" s="231"/>
    </row>
    <row r="246" spans="1:22" hidden="1" x14ac:dyDescent="0.25">
      <c r="B246" s="117"/>
      <c r="C246" s="223"/>
      <c r="D246" s="223"/>
      <c r="E246" s="223"/>
      <c r="F246" s="223"/>
      <c r="G246" s="223"/>
      <c r="H246" s="223"/>
      <c r="I246" s="223"/>
      <c r="J246" s="223"/>
      <c r="K246" s="223"/>
      <c r="L246" s="223"/>
      <c r="M246" s="223"/>
      <c r="N246" s="223"/>
      <c r="O246" s="223"/>
      <c r="P246" s="224"/>
      <c r="Q246" s="225"/>
      <c r="R246" s="225"/>
      <c r="S246" s="225"/>
      <c r="T246" s="225"/>
      <c r="U246" s="225"/>
      <c r="V246" s="225"/>
    </row>
    <row r="247" spans="1:22" hidden="1" x14ac:dyDescent="0.25">
      <c r="B247" s="219">
        <f>B237+1</f>
        <v>4</v>
      </c>
      <c r="C247" s="157">
        <f t="shared" ref="C247:P247" ca="1" si="111">C$53/(C$49*(C$36+C245))</f>
        <v>14.33561030252126</v>
      </c>
      <c r="D247" s="157">
        <f t="shared" ca="1" si="111"/>
        <v>14.335610302521264</v>
      </c>
      <c r="E247" s="157">
        <f t="shared" ca="1" si="111"/>
        <v>14.335610302521266</v>
      </c>
      <c r="F247" s="157">
        <f t="shared" ca="1" si="111"/>
        <v>16.946241311123</v>
      </c>
      <c r="G247" s="157">
        <f t="shared" ca="1" si="111"/>
        <v>22.778804207319173</v>
      </c>
      <c r="H247" s="157">
        <f t="shared" ca="1" si="111"/>
        <v>44.785714285624657</v>
      </c>
      <c r="I247" s="157" t="e">
        <f t="shared" ca="1" si="111"/>
        <v>#DIV/0!</v>
      </c>
      <c r="J247" s="157" t="e">
        <f t="shared" ca="1" si="111"/>
        <v>#DIV/0!</v>
      </c>
      <c r="K247" s="157" t="e">
        <f t="shared" ca="1" si="111"/>
        <v>#DIV/0!</v>
      </c>
      <c r="L247" s="157" t="e">
        <f t="shared" ca="1" si="111"/>
        <v>#DIV/0!</v>
      </c>
      <c r="M247" s="157" t="e">
        <f t="shared" ca="1" si="111"/>
        <v>#DIV/0!</v>
      </c>
      <c r="N247" s="157" t="e">
        <f t="shared" ca="1" si="111"/>
        <v>#DIV/0!</v>
      </c>
      <c r="O247" s="157" t="e">
        <f t="shared" ca="1" si="111"/>
        <v>#DIV/0!</v>
      </c>
      <c r="P247" s="232" t="e">
        <f t="shared" ca="1" si="111"/>
        <v>#DIV/0!</v>
      </c>
      <c r="Q247" s="233"/>
      <c r="R247" s="233"/>
      <c r="S247" s="233"/>
      <c r="T247" s="233"/>
      <c r="U247" s="233"/>
      <c r="V247" s="233"/>
    </row>
    <row r="248" spans="1:22" hidden="1" x14ac:dyDescent="0.25">
      <c r="B248" s="117" t="s">
        <v>24</v>
      </c>
      <c r="C248" s="223">
        <f t="shared" ref="C248:P248" ca="1" si="112">FLOOR((C247-$C$300)/$I$297,1)+1</f>
        <v>9</v>
      </c>
      <c r="D248" s="223">
        <f t="shared" ca="1" si="112"/>
        <v>9</v>
      </c>
      <c r="E248" s="223">
        <f t="shared" ca="1" si="112"/>
        <v>9</v>
      </c>
      <c r="F248" s="223">
        <f t="shared" ca="1" si="112"/>
        <v>11</v>
      </c>
      <c r="G248" s="223">
        <f t="shared" ca="1" si="112"/>
        <v>15</v>
      </c>
      <c r="H248" s="223">
        <f t="shared" ca="1" si="112"/>
        <v>29</v>
      </c>
      <c r="I248" s="223" t="e">
        <f t="shared" ca="1" si="112"/>
        <v>#DIV/0!</v>
      </c>
      <c r="J248" s="223" t="e">
        <f t="shared" ca="1" si="112"/>
        <v>#DIV/0!</v>
      </c>
      <c r="K248" s="223" t="e">
        <f t="shared" ca="1" si="112"/>
        <v>#DIV/0!</v>
      </c>
      <c r="L248" s="223" t="e">
        <f t="shared" ca="1" si="112"/>
        <v>#DIV/0!</v>
      </c>
      <c r="M248" s="223" t="e">
        <f t="shared" ca="1" si="112"/>
        <v>#DIV/0!</v>
      </c>
      <c r="N248" s="223" t="e">
        <f t="shared" ca="1" si="112"/>
        <v>#DIV/0!</v>
      </c>
      <c r="O248" s="223" t="e">
        <f t="shared" ca="1" si="112"/>
        <v>#DIV/0!</v>
      </c>
      <c r="P248" s="224" t="e">
        <f t="shared" ca="1" si="112"/>
        <v>#DIV/0!</v>
      </c>
      <c r="Q248" s="225"/>
      <c r="R248" s="225"/>
      <c r="S248" s="225"/>
      <c r="T248" s="225"/>
      <c r="U248" s="225"/>
      <c r="V248" s="225"/>
    </row>
    <row r="249" spans="1:22" hidden="1" x14ac:dyDescent="0.25">
      <c r="B249" s="226" t="s">
        <v>36</v>
      </c>
      <c r="C249" s="227">
        <f t="shared" ref="C249:P249" ca="1" si="113">C247-($C$300+(C248-1)*$I$297)</f>
        <v>0.83561030252126045</v>
      </c>
      <c r="D249" s="227">
        <f t="shared" ca="1" si="113"/>
        <v>0.835610302521264</v>
      </c>
      <c r="E249" s="227">
        <f t="shared" ca="1" si="113"/>
        <v>0.83561030252126578</v>
      </c>
      <c r="F249" s="227">
        <f t="shared" ca="1" si="113"/>
        <v>0.44624131112299992</v>
      </c>
      <c r="G249" s="227">
        <f t="shared" ca="1" si="113"/>
        <v>0.27880420731917255</v>
      </c>
      <c r="H249" s="227">
        <f t="shared" ca="1" si="113"/>
        <v>1.2857142856246568</v>
      </c>
      <c r="I249" s="227" t="e">
        <f t="shared" ca="1" si="113"/>
        <v>#DIV/0!</v>
      </c>
      <c r="J249" s="227" t="e">
        <f t="shared" ca="1" si="113"/>
        <v>#DIV/0!</v>
      </c>
      <c r="K249" s="227" t="e">
        <f t="shared" ca="1" si="113"/>
        <v>#DIV/0!</v>
      </c>
      <c r="L249" s="227" t="e">
        <f t="shared" ca="1" si="113"/>
        <v>#DIV/0!</v>
      </c>
      <c r="M249" s="227" t="e">
        <f t="shared" ca="1" si="113"/>
        <v>#DIV/0!</v>
      </c>
      <c r="N249" s="227" t="e">
        <f t="shared" ca="1" si="113"/>
        <v>#DIV/0!</v>
      </c>
      <c r="O249" s="227" t="e">
        <f t="shared" ca="1" si="113"/>
        <v>#DIV/0!</v>
      </c>
      <c r="P249" s="228" t="e">
        <f t="shared" ca="1" si="113"/>
        <v>#DIV/0!</v>
      </c>
      <c r="Q249" s="110"/>
      <c r="R249" s="110"/>
      <c r="S249" s="110"/>
      <c r="T249" s="110"/>
      <c r="U249" s="110"/>
      <c r="V249" s="110"/>
    </row>
    <row r="250" spans="1:22" hidden="1" x14ac:dyDescent="0.25">
      <c r="B250" s="226" t="s">
        <v>38</v>
      </c>
      <c r="C250" s="60">
        <f t="shared" ref="C250:P250" ca="1" si="114">OFFSET($G$306,C248,0)</f>
        <v>0</v>
      </c>
      <c r="D250" s="60">
        <f t="shared" ca="1" si="114"/>
        <v>0</v>
      </c>
      <c r="E250" s="60">
        <f t="shared" ca="1" si="114"/>
        <v>0</v>
      </c>
      <c r="F250" s="60">
        <f t="shared" ca="1" si="114"/>
        <v>9.9085993822613502E-2</v>
      </c>
      <c r="G250" s="60">
        <f t="shared" ca="1" si="114"/>
        <v>0.10235486311113892</v>
      </c>
      <c r="H250" s="60" t="str">
        <f t="shared" ca="1" si="114"/>
        <v>row_leverage</v>
      </c>
      <c r="I250" s="60" t="e">
        <f t="shared" ca="1" si="114"/>
        <v>#DIV/0!</v>
      </c>
      <c r="J250" s="60" t="e">
        <f t="shared" ca="1" si="114"/>
        <v>#DIV/0!</v>
      </c>
      <c r="K250" s="60" t="e">
        <f t="shared" ca="1" si="114"/>
        <v>#DIV/0!</v>
      </c>
      <c r="L250" s="60" t="e">
        <f t="shared" ca="1" si="114"/>
        <v>#DIV/0!</v>
      </c>
      <c r="M250" s="60" t="e">
        <f t="shared" ca="1" si="114"/>
        <v>#DIV/0!</v>
      </c>
      <c r="N250" s="60" t="e">
        <f t="shared" ca="1" si="114"/>
        <v>#DIV/0!</v>
      </c>
      <c r="O250" s="60" t="e">
        <f t="shared" ca="1" si="114"/>
        <v>#DIV/0!</v>
      </c>
      <c r="P250" s="180" t="e">
        <f t="shared" ca="1" si="114"/>
        <v>#DIV/0!</v>
      </c>
    </row>
    <row r="251" spans="1:22" hidden="1" x14ac:dyDescent="0.25">
      <c r="B251" s="117" t="s">
        <v>37</v>
      </c>
      <c r="C251" s="60">
        <f t="shared" ref="C251:P251" ca="1" si="115">OFFSET($H$306,C248,0)</f>
        <v>0</v>
      </c>
      <c r="D251" s="60">
        <f t="shared" ca="1" si="115"/>
        <v>0</v>
      </c>
      <c r="E251" s="60">
        <f t="shared" ca="1" si="115"/>
        <v>0</v>
      </c>
      <c r="F251" s="60">
        <f t="shared" ca="1" si="115"/>
        <v>1.0078792165068426</v>
      </c>
      <c r="G251" s="60">
        <f t="shared" ca="1" si="115"/>
        <v>0.99613484905039651</v>
      </c>
      <c r="H251" s="60">
        <f t="shared" ca="1" si="115"/>
        <v>0</v>
      </c>
      <c r="I251" s="60" t="e">
        <f t="shared" ca="1" si="115"/>
        <v>#DIV/0!</v>
      </c>
      <c r="J251" s="60" t="e">
        <f t="shared" ca="1" si="115"/>
        <v>#DIV/0!</v>
      </c>
      <c r="K251" s="60" t="e">
        <f t="shared" ca="1" si="115"/>
        <v>#DIV/0!</v>
      </c>
      <c r="L251" s="60" t="e">
        <f t="shared" ca="1" si="115"/>
        <v>#DIV/0!</v>
      </c>
      <c r="M251" s="60" t="e">
        <f t="shared" ca="1" si="115"/>
        <v>#DIV/0!</v>
      </c>
      <c r="N251" s="60" t="e">
        <f t="shared" ca="1" si="115"/>
        <v>#DIV/0!</v>
      </c>
      <c r="O251" s="60" t="e">
        <f t="shared" ca="1" si="115"/>
        <v>#DIV/0!</v>
      </c>
      <c r="P251" s="180" t="e">
        <f t="shared" ca="1" si="115"/>
        <v>#DIV/0!</v>
      </c>
    </row>
    <row r="252" spans="1:22" hidden="1" x14ac:dyDescent="0.25">
      <c r="B252" s="226" t="s">
        <v>39</v>
      </c>
      <c r="C252" s="60">
        <f t="shared" ref="C252:P252" ca="1" si="116">OFFSET($I$306,C248,0)</f>
        <v>0</v>
      </c>
      <c r="D252" s="60">
        <f t="shared" ca="1" si="116"/>
        <v>0</v>
      </c>
      <c r="E252" s="60">
        <f t="shared" ca="1" si="116"/>
        <v>0</v>
      </c>
      <c r="F252" s="60">
        <f t="shared" ca="1" si="116"/>
        <v>0.120000000005</v>
      </c>
      <c r="G252" s="60">
        <f t="shared" ca="1" si="116"/>
        <v>0.1200000000030001</v>
      </c>
      <c r="H252" s="60" t="str">
        <f t="shared" ca="1" si="116"/>
        <v>Debt / equity ratio</v>
      </c>
      <c r="I252" s="60" t="e">
        <f t="shared" ca="1" si="116"/>
        <v>#DIV/0!</v>
      </c>
      <c r="J252" s="60" t="e">
        <f t="shared" ca="1" si="116"/>
        <v>#DIV/0!</v>
      </c>
      <c r="K252" s="60" t="e">
        <f t="shared" ca="1" si="116"/>
        <v>#DIV/0!</v>
      </c>
      <c r="L252" s="60" t="e">
        <f t="shared" ca="1" si="116"/>
        <v>#DIV/0!</v>
      </c>
      <c r="M252" s="60" t="e">
        <f t="shared" ca="1" si="116"/>
        <v>#DIV/0!</v>
      </c>
      <c r="N252" s="60" t="e">
        <f t="shared" ca="1" si="116"/>
        <v>#DIV/0!</v>
      </c>
      <c r="O252" s="60" t="e">
        <f t="shared" ca="1" si="116"/>
        <v>#DIV/0!</v>
      </c>
      <c r="P252" s="180" t="e">
        <f t="shared" ca="1" si="116"/>
        <v>#DIV/0!</v>
      </c>
    </row>
    <row r="253" spans="1:22" hidden="1" x14ac:dyDescent="0.25">
      <c r="B253" s="226" t="s">
        <v>40</v>
      </c>
      <c r="C253" s="60">
        <f t="shared" ref="C253:P253" ca="1" si="117">OFFSET($D$299,C248,0)</f>
        <v>0</v>
      </c>
      <c r="D253" s="60">
        <f t="shared" ca="1" si="117"/>
        <v>0</v>
      </c>
      <c r="E253" s="60">
        <f t="shared" ca="1" si="117"/>
        <v>0</v>
      </c>
      <c r="F253" s="60">
        <f t="shared" ca="1" si="117"/>
        <v>4</v>
      </c>
      <c r="G253" s="60">
        <f t="shared" ca="1" si="117"/>
        <v>0</v>
      </c>
      <c r="H253" s="60">
        <f t="shared" ca="1" si="117"/>
        <v>5.0062761490697447</v>
      </c>
      <c r="I253" s="60" t="e">
        <f t="shared" ca="1" si="117"/>
        <v>#DIV/0!</v>
      </c>
      <c r="J253" s="60" t="e">
        <f t="shared" ca="1" si="117"/>
        <v>#DIV/0!</v>
      </c>
      <c r="K253" s="60" t="e">
        <f t="shared" ca="1" si="117"/>
        <v>#DIV/0!</v>
      </c>
      <c r="L253" s="60" t="e">
        <f t="shared" ca="1" si="117"/>
        <v>#DIV/0!</v>
      </c>
      <c r="M253" s="60" t="e">
        <f t="shared" ca="1" si="117"/>
        <v>#DIV/0!</v>
      </c>
      <c r="N253" s="60" t="e">
        <f t="shared" ca="1" si="117"/>
        <v>#DIV/0!</v>
      </c>
      <c r="O253" s="60" t="e">
        <f t="shared" ca="1" si="117"/>
        <v>#DIV/0!</v>
      </c>
      <c r="P253" s="180" t="e">
        <f t="shared" ca="1" si="117"/>
        <v>#DIV/0!</v>
      </c>
    </row>
    <row r="254" spans="1:22" hidden="1" x14ac:dyDescent="0.25">
      <c r="B254" s="226" t="s">
        <v>41</v>
      </c>
      <c r="C254" s="229">
        <f t="shared" ref="C254:P254" ca="1" si="118">C250*C249^3+C251*C249^2+C252*C249+C253</f>
        <v>0</v>
      </c>
      <c r="D254" s="229">
        <f t="shared" ca="1" si="118"/>
        <v>0</v>
      </c>
      <c r="E254" s="229">
        <f t="shared" ca="1" si="118"/>
        <v>0</v>
      </c>
      <c r="F254" s="229">
        <f t="shared" ca="1" si="118"/>
        <v>4.2630541062107437</v>
      </c>
      <c r="G254" s="229">
        <f t="shared" ca="1" si="118"/>
        <v>0.11310607518312366</v>
      </c>
      <c r="H254" s="229" t="e">
        <f t="shared" ca="1" si="118"/>
        <v>#VALUE!</v>
      </c>
      <c r="I254" s="229" t="e">
        <f t="shared" ca="1" si="118"/>
        <v>#DIV/0!</v>
      </c>
      <c r="J254" s="229" t="e">
        <f t="shared" ca="1" si="118"/>
        <v>#DIV/0!</v>
      </c>
      <c r="K254" s="229" t="e">
        <f t="shared" ca="1" si="118"/>
        <v>#DIV/0!</v>
      </c>
      <c r="L254" s="229" t="e">
        <f t="shared" ca="1" si="118"/>
        <v>#DIV/0!</v>
      </c>
      <c r="M254" s="229" t="e">
        <f t="shared" ca="1" si="118"/>
        <v>#DIV/0!</v>
      </c>
      <c r="N254" s="229" t="e">
        <f t="shared" ca="1" si="118"/>
        <v>#DIV/0!</v>
      </c>
      <c r="O254" s="229" t="e">
        <f t="shared" ca="1" si="118"/>
        <v>#DIV/0!</v>
      </c>
      <c r="P254" s="230" t="e">
        <f t="shared" ca="1" si="118"/>
        <v>#DIV/0!</v>
      </c>
      <c r="Q254" s="231"/>
      <c r="R254" s="231"/>
      <c r="S254" s="231"/>
      <c r="T254" s="231"/>
      <c r="U254" s="231"/>
      <c r="V254" s="231"/>
    </row>
    <row r="255" spans="1:22" hidden="1" x14ac:dyDescent="0.25">
      <c r="B255" s="226" t="s">
        <v>42</v>
      </c>
      <c r="C255" s="229">
        <f t="shared" ref="C255:P255" ca="1" si="119">IF(C247&lt;=$C$19,$D$19+(C247-$C$19)*$I$307,IF(C247&gt;=$C$15,IF($D$15=0,0,$I$303*EXP(-$I$302*C247)),C254))</f>
        <v>5.2463603179531938E-5</v>
      </c>
      <c r="D255" s="229">
        <f t="shared" ca="1" si="119"/>
        <v>5.2463603179531762E-5</v>
      </c>
      <c r="E255" s="229">
        <f t="shared" ca="1" si="119"/>
        <v>5.2463603179531762E-5</v>
      </c>
      <c r="F255" s="229">
        <f t="shared" ca="1" si="119"/>
        <v>9.2045597290818249E-6</v>
      </c>
      <c r="G255" s="229">
        <f t="shared" ca="1" si="119"/>
        <v>1.8849641701930335E-7</v>
      </c>
      <c r="H255" s="229">
        <f t="shared" ca="1" si="119"/>
        <v>8.0103229473239992E-14</v>
      </c>
      <c r="I255" s="229" t="e">
        <f t="shared" ca="1" si="119"/>
        <v>#DIV/0!</v>
      </c>
      <c r="J255" s="229" t="e">
        <f t="shared" ca="1" si="119"/>
        <v>#DIV/0!</v>
      </c>
      <c r="K255" s="229" t="e">
        <f t="shared" ca="1" si="119"/>
        <v>#DIV/0!</v>
      </c>
      <c r="L255" s="229" t="e">
        <f t="shared" ca="1" si="119"/>
        <v>#DIV/0!</v>
      </c>
      <c r="M255" s="229" t="e">
        <f t="shared" ca="1" si="119"/>
        <v>#DIV/0!</v>
      </c>
      <c r="N255" s="229" t="e">
        <f t="shared" ca="1" si="119"/>
        <v>#DIV/0!</v>
      </c>
      <c r="O255" s="229" t="e">
        <f t="shared" ca="1" si="119"/>
        <v>#DIV/0!</v>
      </c>
      <c r="P255" s="230" t="e">
        <f t="shared" ca="1" si="119"/>
        <v>#DIV/0!</v>
      </c>
      <c r="Q255" s="231"/>
      <c r="R255" s="231"/>
      <c r="S255" s="231"/>
      <c r="T255" s="231"/>
      <c r="U255" s="231"/>
      <c r="V255" s="231"/>
    </row>
    <row r="256" spans="1:22" hidden="1" x14ac:dyDescent="0.25">
      <c r="B256" s="117"/>
      <c r="C256" s="227"/>
      <c r="D256" s="227"/>
      <c r="E256" s="227"/>
      <c r="F256" s="227"/>
      <c r="G256" s="227"/>
      <c r="H256" s="227"/>
      <c r="I256" s="227"/>
      <c r="J256" s="227"/>
      <c r="K256" s="227"/>
      <c r="L256" s="227"/>
      <c r="M256" s="227"/>
      <c r="N256" s="227"/>
      <c r="O256" s="227"/>
      <c r="P256" s="228"/>
      <c r="Q256" s="110"/>
      <c r="R256" s="110"/>
      <c r="S256" s="110"/>
      <c r="T256" s="110"/>
      <c r="U256" s="110"/>
      <c r="V256" s="110"/>
    </row>
    <row r="257" spans="2:22" hidden="1" x14ac:dyDescent="0.25">
      <c r="B257" s="219">
        <f>B247+1</f>
        <v>5</v>
      </c>
      <c r="C257" s="157">
        <f t="shared" ref="C257:P257" ca="1" si="120">C$53/(C$49*(C$36+C255))</f>
        <v>14.338336836791358</v>
      </c>
      <c r="D257" s="157">
        <f t="shared" ca="1" si="120"/>
        <v>14.338336836791362</v>
      </c>
      <c r="E257" s="157">
        <f t="shared" ca="1" si="120"/>
        <v>14.338336836791363</v>
      </c>
      <c r="F257" s="157">
        <f t="shared" ca="1" si="120"/>
        <v>16.946316865572026</v>
      </c>
      <c r="G257" s="157">
        <f t="shared" ca="1" si="120"/>
        <v>22.778804221551368</v>
      </c>
      <c r="H257" s="157">
        <f t="shared" ca="1" si="120"/>
        <v>44.785714285624657</v>
      </c>
      <c r="I257" s="157" t="e">
        <f t="shared" ca="1" si="120"/>
        <v>#DIV/0!</v>
      </c>
      <c r="J257" s="157" t="e">
        <f t="shared" ca="1" si="120"/>
        <v>#DIV/0!</v>
      </c>
      <c r="K257" s="157" t="e">
        <f t="shared" ca="1" si="120"/>
        <v>#DIV/0!</v>
      </c>
      <c r="L257" s="157" t="e">
        <f t="shared" ca="1" si="120"/>
        <v>#DIV/0!</v>
      </c>
      <c r="M257" s="157" t="e">
        <f t="shared" ca="1" si="120"/>
        <v>#DIV/0!</v>
      </c>
      <c r="N257" s="157" t="e">
        <f t="shared" ca="1" si="120"/>
        <v>#DIV/0!</v>
      </c>
      <c r="O257" s="157" t="e">
        <f t="shared" ca="1" si="120"/>
        <v>#DIV/0!</v>
      </c>
      <c r="P257" s="232" t="e">
        <f t="shared" ca="1" si="120"/>
        <v>#DIV/0!</v>
      </c>
      <c r="Q257" s="233"/>
      <c r="R257" s="233"/>
      <c r="S257" s="233"/>
      <c r="T257" s="233"/>
      <c r="U257" s="233"/>
      <c r="V257" s="233"/>
    </row>
    <row r="258" spans="2:22" hidden="1" x14ac:dyDescent="0.25">
      <c r="B258" s="117" t="s">
        <v>24</v>
      </c>
      <c r="C258" s="223">
        <f t="shared" ref="C258:P258" ca="1" si="121">FLOOR((C257-$C$300)/$I$297,1)+1</f>
        <v>9</v>
      </c>
      <c r="D258" s="223">
        <f t="shared" ca="1" si="121"/>
        <v>9</v>
      </c>
      <c r="E258" s="223">
        <f t="shared" ca="1" si="121"/>
        <v>9</v>
      </c>
      <c r="F258" s="223">
        <f t="shared" ca="1" si="121"/>
        <v>11</v>
      </c>
      <c r="G258" s="223">
        <f t="shared" ca="1" si="121"/>
        <v>15</v>
      </c>
      <c r="H258" s="223">
        <f t="shared" ca="1" si="121"/>
        <v>29</v>
      </c>
      <c r="I258" s="223" t="e">
        <f t="shared" ca="1" si="121"/>
        <v>#DIV/0!</v>
      </c>
      <c r="J258" s="223" t="e">
        <f t="shared" ca="1" si="121"/>
        <v>#DIV/0!</v>
      </c>
      <c r="K258" s="223" t="e">
        <f t="shared" ca="1" si="121"/>
        <v>#DIV/0!</v>
      </c>
      <c r="L258" s="223" t="e">
        <f t="shared" ca="1" si="121"/>
        <v>#DIV/0!</v>
      </c>
      <c r="M258" s="223" t="e">
        <f t="shared" ca="1" si="121"/>
        <v>#DIV/0!</v>
      </c>
      <c r="N258" s="223" t="e">
        <f t="shared" ca="1" si="121"/>
        <v>#DIV/0!</v>
      </c>
      <c r="O258" s="223" t="e">
        <f t="shared" ca="1" si="121"/>
        <v>#DIV/0!</v>
      </c>
      <c r="P258" s="224" t="e">
        <f t="shared" ca="1" si="121"/>
        <v>#DIV/0!</v>
      </c>
      <c r="Q258" s="225"/>
      <c r="R258" s="225"/>
      <c r="S258" s="225"/>
      <c r="T258" s="225"/>
      <c r="U258" s="225"/>
      <c r="V258" s="225"/>
    </row>
    <row r="259" spans="2:22" hidden="1" x14ac:dyDescent="0.25">
      <c r="B259" s="226" t="s">
        <v>36</v>
      </c>
      <c r="C259" s="227">
        <f t="shared" ref="C259:P259" ca="1" si="122">C257-($C$300+(C258-1)*$I$297)</f>
        <v>0.83833683679135795</v>
      </c>
      <c r="D259" s="227">
        <f t="shared" ca="1" si="122"/>
        <v>0.83833683679136151</v>
      </c>
      <c r="E259" s="227">
        <f t="shared" ca="1" si="122"/>
        <v>0.83833683679136328</v>
      </c>
      <c r="F259" s="227">
        <f t="shared" ca="1" si="122"/>
        <v>0.44631686557202599</v>
      </c>
      <c r="G259" s="227">
        <f t="shared" ca="1" si="122"/>
        <v>0.27880422155136841</v>
      </c>
      <c r="H259" s="227">
        <f t="shared" ca="1" si="122"/>
        <v>1.2857142856246568</v>
      </c>
      <c r="I259" s="227" t="e">
        <f t="shared" ca="1" si="122"/>
        <v>#DIV/0!</v>
      </c>
      <c r="J259" s="227" t="e">
        <f t="shared" ca="1" si="122"/>
        <v>#DIV/0!</v>
      </c>
      <c r="K259" s="227" t="e">
        <f t="shared" ca="1" si="122"/>
        <v>#DIV/0!</v>
      </c>
      <c r="L259" s="227" t="e">
        <f t="shared" ca="1" si="122"/>
        <v>#DIV/0!</v>
      </c>
      <c r="M259" s="227" t="e">
        <f t="shared" ca="1" si="122"/>
        <v>#DIV/0!</v>
      </c>
      <c r="N259" s="227" t="e">
        <f t="shared" ca="1" si="122"/>
        <v>#DIV/0!</v>
      </c>
      <c r="O259" s="227" t="e">
        <f t="shared" ca="1" si="122"/>
        <v>#DIV/0!</v>
      </c>
      <c r="P259" s="228" t="e">
        <f t="shared" ca="1" si="122"/>
        <v>#DIV/0!</v>
      </c>
      <c r="Q259" s="110"/>
      <c r="R259" s="110"/>
      <c r="S259" s="110"/>
      <c r="T259" s="110"/>
      <c r="U259" s="110"/>
      <c r="V259" s="110"/>
    </row>
    <row r="260" spans="2:22" hidden="1" x14ac:dyDescent="0.25">
      <c r="B260" s="226" t="s">
        <v>38</v>
      </c>
      <c r="C260" s="60">
        <f t="shared" ref="C260:P260" ca="1" si="123">OFFSET($G$306,C258,0)</f>
        <v>0</v>
      </c>
      <c r="D260" s="60">
        <f t="shared" ca="1" si="123"/>
        <v>0</v>
      </c>
      <c r="E260" s="60">
        <f t="shared" ca="1" si="123"/>
        <v>0</v>
      </c>
      <c r="F260" s="60">
        <f t="shared" ca="1" si="123"/>
        <v>9.9085993822613502E-2</v>
      </c>
      <c r="G260" s="60">
        <f t="shared" ca="1" si="123"/>
        <v>0.10235486311113892</v>
      </c>
      <c r="H260" s="60" t="str">
        <f t="shared" ca="1" si="123"/>
        <v>row_leverage</v>
      </c>
      <c r="I260" s="60" t="e">
        <f t="shared" ca="1" si="123"/>
        <v>#DIV/0!</v>
      </c>
      <c r="J260" s="60" t="e">
        <f t="shared" ca="1" si="123"/>
        <v>#DIV/0!</v>
      </c>
      <c r="K260" s="60" t="e">
        <f t="shared" ca="1" si="123"/>
        <v>#DIV/0!</v>
      </c>
      <c r="L260" s="60" t="e">
        <f t="shared" ca="1" si="123"/>
        <v>#DIV/0!</v>
      </c>
      <c r="M260" s="60" t="e">
        <f t="shared" ca="1" si="123"/>
        <v>#DIV/0!</v>
      </c>
      <c r="N260" s="60" t="e">
        <f t="shared" ca="1" si="123"/>
        <v>#DIV/0!</v>
      </c>
      <c r="O260" s="60" t="e">
        <f t="shared" ca="1" si="123"/>
        <v>#DIV/0!</v>
      </c>
      <c r="P260" s="180" t="e">
        <f t="shared" ca="1" si="123"/>
        <v>#DIV/0!</v>
      </c>
    </row>
    <row r="261" spans="2:22" hidden="1" x14ac:dyDescent="0.25">
      <c r="B261" s="117" t="s">
        <v>37</v>
      </c>
      <c r="C261" s="60">
        <f t="shared" ref="C261:P261" ca="1" si="124">OFFSET($H$306,C258,0)</f>
        <v>0</v>
      </c>
      <c r="D261" s="60">
        <f t="shared" ca="1" si="124"/>
        <v>0</v>
      </c>
      <c r="E261" s="60">
        <f t="shared" ca="1" si="124"/>
        <v>0</v>
      </c>
      <c r="F261" s="60">
        <f t="shared" ca="1" si="124"/>
        <v>1.0078792165068426</v>
      </c>
      <c r="G261" s="60">
        <f t="shared" ca="1" si="124"/>
        <v>0.99613484905039651</v>
      </c>
      <c r="H261" s="60">
        <f t="shared" ca="1" si="124"/>
        <v>0</v>
      </c>
      <c r="I261" s="60" t="e">
        <f t="shared" ca="1" si="124"/>
        <v>#DIV/0!</v>
      </c>
      <c r="J261" s="60" t="e">
        <f t="shared" ca="1" si="124"/>
        <v>#DIV/0!</v>
      </c>
      <c r="K261" s="60" t="e">
        <f t="shared" ca="1" si="124"/>
        <v>#DIV/0!</v>
      </c>
      <c r="L261" s="60" t="e">
        <f t="shared" ca="1" si="124"/>
        <v>#DIV/0!</v>
      </c>
      <c r="M261" s="60" t="e">
        <f t="shared" ca="1" si="124"/>
        <v>#DIV/0!</v>
      </c>
      <c r="N261" s="60" t="e">
        <f t="shared" ca="1" si="124"/>
        <v>#DIV/0!</v>
      </c>
      <c r="O261" s="60" t="e">
        <f t="shared" ca="1" si="124"/>
        <v>#DIV/0!</v>
      </c>
      <c r="P261" s="180" t="e">
        <f t="shared" ca="1" si="124"/>
        <v>#DIV/0!</v>
      </c>
    </row>
    <row r="262" spans="2:22" hidden="1" x14ac:dyDescent="0.25">
      <c r="B262" s="226" t="s">
        <v>39</v>
      </c>
      <c r="C262" s="60">
        <f t="shared" ref="C262:P262" ca="1" si="125">OFFSET($I$306,C258,0)</f>
        <v>0</v>
      </c>
      <c r="D262" s="60">
        <f t="shared" ca="1" si="125"/>
        <v>0</v>
      </c>
      <c r="E262" s="60">
        <f t="shared" ca="1" si="125"/>
        <v>0</v>
      </c>
      <c r="F262" s="60">
        <f t="shared" ca="1" si="125"/>
        <v>0.120000000005</v>
      </c>
      <c r="G262" s="60">
        <f t="shared" ca="1" si="125"/>
        <v>0.1200000000030001</v>
      </c>
      <c r="H262" s="60" t="str">
        <f t="shared" ca="1" si="125"/>
        <v>Debt / equity ratio</v>
      </c>
      <c r="I262" s="60" t="e">
        <f t="shared" ca="1" si="125"/>
        <v>#DIV/0!</v>
      </c>
      <c r="J262" s="60" t="e">
        <f t="shared" ca="1" si="125"/>
        <v>#DIV/0!</v>
      </c>
      <c r="K262" s="60" t="e">
        <f t="shared" ca="1" si="125"/>
        <v>#DIV/0!</v>
      </c>
      <c r="L262" s="60" t="e">
        <f t="shared" ca="1" si="125"/>
        <v>#DIV/0!</v>
      </c>
      <c r="M262" s="60" t="e">
        <f t="shared" ca="1" si="125"/>
        <v>#DIV/0!</v>
      </c>
      <c r="N262" s="60" t="e">
        <f t="shared" ca="1" si="125"/>
        <v>#DIV/0!</v>
      </c>
      <c r="O262" s="60" t="e">
        <f t="shared" ca="1" si="125"/>
        <v>#DIV/0!</v>
      </c>
      <c r="P262" s="180" t="e">
        <f t="shared" ca="1" si="125"/>
        <v>#DIV/0!</v>
      </c>
    </row>
    <row r="263" spans="2:22" hidden="1" x14ac:dyDescent="0.25">
      <c r="B263" s="226" t="s">
        <v>40</v>
      </c>
      <c r="C263" s="60">
        <f t="shared" ref="C263:P263" ca="1" si="126">OFFSET($D$299,C258,0)</f>
        <v>0</v>
      </c>
      <c r="D263" s="60">
        <f t="shared" ca="1" si="126"/>
        <v>0</v>
      </c>
      <c r="E263" s="60">
        <f t="shared" ca="1" si="126"/>
        <v>0</v>
      </c>
      <c r="F263" s="60">
        <f t="shared" ca="1" si="126"/>
        <v>4</v>
      </c>
      <c r="G263" s="60">
        <f t="shared" ca="1" si="126"/>
        <v>0</v>
      </c>
      <c r="H263" s="60">
        <f t="shared" ca="1" si="126"/>
        <v>5.0062761490697447</v>
      </c>
      <c r="I263" s="60" t="e">
        <f t="shared" ca="1" si="126"/>
        <v>#DIV/0!</v>
      </c>
      <c r="J263" s="60" t="e">
        <f t="shared" ca="1" si="126"/>
        <v>#DIV/0!</v>
      </c>
      <c r="K263" s="60" t="e">
        <f t="shared" ca="1" si="126"/>
        <v>#DIV/0!</v>
      </c>
      <c r="L263" s="60" t="e">
        <f t="shared" ca="1" si="126"/>
        <v>#DIV/0!</v>
      </c>
      <c r="M263" s="60" t="e">
        <f t="shared" ca="1" si="126"/>
        <v>#DIV/0!</v>
      </c>
      <c r="N263" s="60" t="e">
        <f t="shared" ca="1" si="126"/>
        <v>#DIV/0!</v>
      </c>
      <c r="O263" s="60" t="e">
        <f t="shared" ca="1" si="126"/>
        <v>#DIV/0!</v>
      </c>
      <c r="P263" s="180" t="e">
        <f t="shared" ca="1" si="126"/>
        <v>#DIV/0!</v>
      </c>
    </row>
    <row r="264" spans="2:22" hidden="1" x14ac:dyDescent="0.25">
      <c r="B264" s="226" t="s">
        <v>41</v>
      </c>
      <c r="C264" s="229">
        <f t="shared" ref="C264:P264" ca="1" si="127">C260*C259^3+C261*C259^2+C262*C259+C263</f>
        <v>0</v>
      </c>
      <c r="D264" s="229">
        <f t="shared" ca="1" si="127"/>
        <v>0</v>
      </c>
      <c r="E264" s="229">
        <f t="shared" ca="1" si="127"/>
        <v>0</v>
      </c>
      <c r="F264" s="229">
        <f t="shared" ca="1" si="127"/>
        <v>4.2631356139143417</v>
      </c>
      <c r="G264" s="229">
        <f t="shared" ca="1" si="127"/>
        <v>0.11310608513600948</v>
      </c>
      <c r="H264" s="229" t="e">
        <f t="shared" ca="1" si="127"/>
        <v>#VALUE!</v>
      </c>
      <c r="I264" s="229" t="e">
        <f t="shared" ca="1" si="127"/>
        <v>#DIV/0!</v>
      </c>
      <c r="J264" s="229" t="e">
        <f t="shared" ca="1" si="127"/>
        <v>#DIV/0!</v>
      </c>
      <c r="K264" s="229" t="e">
        <f t="shared" ca="1" si="127"/>
        <v>#DIV/0!</v>
      </c>
      <c r="L264" s="229" t="e">
        <f t="shared" ca="1" si="127"/>
        <v>#DIV/0!</v>
      </c>
      <c r="M264" s="229" t="e">
        <f t="shared" ca="1" si="127"/>
        <v>#DIV/0!</v>
      </c>
      <c r="N264" s="229" t="e">
        <f t="shared" ca="1" si="127"/>
        <v>#DIV/0!</v>
      </c>
      <c r="O264" s="229" t="e">
        <f t="shared" ca="1" si="127"/>
        <v>#DIV/0!</v>
      </c>
      <c r="P264" s="230" t="e">
        <f t="shared" ca="1" si="127"/>
        <v>#DIV/0!</v>
      </c>
      <c r="Q264" s="231"/>
      <c r="R264" s="231"/>
      <c r="S264" s="231"/>
      <c r="T264" s="231"/>
      <c r="U264" s="231"/>
      <c r="V264" s="231"/>
    </row>
    <row r="265" spans="2:22" hidden="1" x14ac:dyDescent="0.25">
      <c r="B265" s="226" t="s">
        <v>42</v>
      </c>
      <c r="C265" s="229">
        <f t="shared" ref="C265:P265" ca="1" si="128">IF(C257&lt;=$C$19,$D$19+(C257-$C$19)*$I$307,IF(C257&gt;=$C$15,IF($D$15=0,0,$I$303*EXP(-$I$302*C257)),C264))</f>
        <v>5.2368327255454056E-5</v>
      </c>
      <c r="D265" s="229">
        <f t="shared" ca="1" si="128"/>
        <v>5.2368327255453866E-5</v>
      </c>
      <c r="E265" s="229">
        <f t="shared" ca="1" si="128"/>
        <v>5.2368327255453866E-5</v>
      </c>
      <c r="F265" s="229">
        <f t="shared" ca="1" si="128"/>
        <v>9.2040961104655066E-6</v>
      </c>
      <c r="G265" s="229">
        <f t="shared" ca="1" si="128"/>
        <v>1.8849641523082465E-7</v>
      </c>
      <c r="H265" s="229">
        <f t="shared" ca="1" si="128"/>
        <v>8.0103229473239992E-14</v>
      </c>
      <c r="I265" s="229" t="e">
        <f t="shared" ca="1" si="128"/>
        <v>#DIV/0!</v>
      </c>
      <c r="J265" s="229" t="e">
        <f t="shared" ca="1" si="128"/>
        <v>#DIV/0!</v>
      </c>
      <c r="K265" s="229" t="e">
        <f t="shared" ca="1" si="128"/>
        <v>#DIV/0!</v>
      </c>
      <c r="L265" s="229" t="e">
        <f t="shared" ca="1" si="128"/>
        <v>#DIV/0!</v>
      </c>
      <c r="M265" s="229" t="e">
        <f t="shared" ca="1" si="128"/>
        <v>#DIV/0!</v>
      </c>
      <c r="N265" s="229" t="e">
        <f t="shared" ca="1" si="128"/>
        <v>#DIV/0!</v>
      </c>
      <c r="O265" s="229" t="e">
        <f t="shared" ca="1" si="128"/>
        <v>#DIV/0!</v>
      </c>
      <c r="P265" s="230" t="e">
        <f t="shared" ca="1" si="128"/>
        <v>#DIV/0!</v>
      </c>
      <c r="Q265" s="231"/>
      <c r="R265" s="231"/>
      <c r="S265" s="231"/>
      <c r="T265" s="231"/>
      <c r="U265" s="231"/>
      <c r="V265" s="231"/>
    </row>
    <row r="266" spans="2:22" hidden="1" x14ac:dyDescent="0.25">
      <c r="B266" s="117"/>
      <c r="C266" s="60"/>
      <c r="D266" s="60"/>
      <c r="E266" s="60"/>
      <c r="F266" s="60"/>
      <c r="G266" s="60"/>
      <c r="H266" s="60"/>
      <c r="I266" s="60"/>
      <c r="J266" s="60"/>
      <c r="K266" s="60"/>
      <c r="L266" s="60"/>
      <c r="M266" s="60"/>
      <c r="N266" s="60"/>
      <c r="O266" s="60"/>
      <c r="P266" s="180"/>
    </row>
    <row r="267" spans="2:22" hidden="1" x14ac:dyDescent="0.25">
      <c r="B267" s="219">
        <f>B257+1</f>
        <v>6</v>
      </c>
      <c r="C267" s="157">
        <f ca="1">C$53/(C$49*(C$36+C265))</f>
        <v>14.338370944594439</v>
      </c>
      <c r="D267" s="157">
        <f t="shared" ref="D267:P267" ca="1" si="129">D$53/(D$49*(D$36+D265))</f>
        <v>14.338370944594441</v>
      </c>
      <c r="E267" s="157">
        <f t="shared" ca="1" si="129"/>
        <v>14.338370944594443</v>
      </c>
      <c r="F267" s="157">
        <f t="shared" ca="1" si="129"/>
        <v>16.946317061942537</v>
      </c>
      <c r="G267" s="157">
        <f t="shared" ca="1" si="129"/>
        <v>22.778804221552384</v>
      </c>
      <c r="H267" s="157">
        <f t="shared" ca="1" si="129"/>
        <v>44.785714285624657</v>
      </c>
      <c r="I267" s="157" t="e">
        <f t="shared" ca="1" si="129"/>
        <v>#DIV/0!</v>
      </c>
      <c r="J267" s="157" t="e">
        <f t="shared" ca="1" si="129"/>
        <v>#DIV/0!</v>
      </c>
      <c r="K267" s="157" t="e">
        <f t="shared" ca="1" si="129"/>
        <v>#DIV/0!</v>
      </c>
      <c r="L267" s="157" t="e">
        <f t="shared" ca="1" si="129"/>
        <v>#DIV/0!</v>
      </c>
      <c r="M267" s="157" t="e">
        <f t="shared" ca="1" si="129"/>
        <v>#DIV/0!</v>
      </c>
      <c r="N267" s="157" t="e">
        <f t="shared" ca="1" si="129"/>
        <v>#DIV/0!</v>
      </c>
      <c r="O267" s="157" t="e">
        <f t="shared" ca="1" si="129"/>
        <v>#DIV/0!</v>
      </c>
      <c r="P267" s="157" t="e">
        <f t="shared" ca="1" si="129"/>
        <v>#DIV/0!</v>
      </c>
      <c r="Q267" s="233"/>
      <c r="R267" s="233"/>
      <c r="S267" s="233"/>
      <c r="T267" s="233"/>
      <c r="U267" s="233"/>
      <c r="V267" s="233"/>
    </row>
    <row r="268" spans="2:22" hidden="1" x14ac:dyDescent="0.25">
      <c r="B268" s="117" t="s">
        <v>24</v>
      </c>
      <c r="C268" s="223">
        <f t="shared" ref="C268:P268" ca="1" si="130">FLOOR((C267-$C$300)/$I$297,1)+1</f>
        <v>9</v>
      </c>
      <c r="D268" s="223">
        <f t="shared" ca="1" si="130"/>
        <v>9</v>
      </c>
      <c r="E268" s="223">
        <f t="shared" ca="1" si="130"/>
        <v>9</v>
      </c>
      <c r="F268" s="223">
        <f t="shared" ca="1" si="130"/>
        <v>11</v>
      </c>
      <c r="G268" s="223">
        <f t="shared" ca="1" si="130"/>
        <v>15</v>
      </c>
      <c r="H268" s="223">
        <f t="shared" ca="1" si="130"/>
        <v>29</v>
      </c>
      <c r="I268" s="223" t="e">
        <f t="shared" ca="1" si="130"/>
        <v>#DIV/0!</v>
      </c>
      <c r="J268" s="223" t="e">
        <f t="shared" ca="1" si="130"/>
        <v>#DIV/0!</v>
      </c>
      <c r="K268" s="223" t="e">
        <f t="shared" ca="1" si="130"/>
        <v>#DIV/0!</v>
      </c>
      <c r="L268" s="223" t="e">
        <f t="shared" ca="1" si="130"/>
        <v>#DIV/0!</v>
      </c>
      <c r="M268" s="223" t="e">
        <f t="shared" ca="1" si="130"/>
        <v>#DIV/0!</v>
      </c>
      <c r="N268" s="223" t="e">
        <f t="shared" ca="1" si="130"/>
        <v>#DIV/0!</v>
      </c>
      <c r="O268" s="223" t="e">
        <f t="shared" ca="1" si="130"/>
        <v>#DIV/0!</v>
      </c>
      <c r="P268" s="224" t="e">
        <f t="shared" ca="1" si="130"/>
        <v>#DIV/0!</v>
      </c>
      <c r="Q268" s="225"/>
      <c r="R268" s="225"/>
      <c r="S268" s="225"/>
      <c r="T268" s="225"/>
      <c r="U268" s="225"/>
      <c r="V268" s="225"/>
    </row>
    <row r="269" spans="2:22" hidden="1" x14ac:dyDescent="0.25">
      <c r="B269" s="226" t="s">
        <v>36</v>
      </c>
      <c r="C269" s="227">
        <f t="shared" ref="C269:P269" ca="1" si="131">C267-($C$300+(C268-1)*$I$297)</f>
        <v>0.83837094459443939</v>
      </c>
      <c r="D269" s="227">
        <f t="shared" ca="1" si="131"/>
        <v>0.83837094459444117</v>
      </c>
      <c r="E269" s="227">
        <f t="shared" ca="1" si="131"/>
        <v>0.83837094459444295</v>
      </c>
      <c r="F269" s="227">
        <f t="shared" ca="1" si="131"/>
        <v>0.44631706194253695</v>
      </c>
      <c r="G269" s="227">
        <f t="shared" ca="1" si="131"/>
        <v>0.27880422155238449</v>
      </c>
      <c r="H269" s="227">
        <f t="shared" ca="1" si="131"/>
        <v>1.2857142856246568</v>
      </c>
      <c r="I269" s="227" t="e">
        <f t="shared" ca="1" si="131"/>
        <v>#DIV/0!</v>
      </c>
      <c r="J269" s="227" t="e">
        <f t="shared" ca="1" si="131"/>
        <v>#DIV/0!</v>
      </c>
      <c r="K269" s="227" t="e">
        <f t="shared" ca="1" si="131"/>
        <v>#DIV/0!</v>
      </c>
      <c r="L269" s="227" t="e">
        <f t="shared" ca="1" si="131"/>
        <v>#DIV/0!</v>
      </c>
      <c r="M269" s="227" t="e">
        <f t="shared" ca="1" si="131"/>
        <v>#DIV/0!</v>
      </c>
      <c r="N269" s="227" t="e">
        <f t="shared" ca="1" si="131"/>
        <v>#DIV/0!</v>
      </c>
      <c r="O269" s="227" t="e">
        <f t="shared" ca="1" si="131"/>
        <v>#DIV/0!</v>
      </c>
      <c r="P269" s="228" t="e">
        <f t="shared" ca="1" si="131"/>
        <v>#DIV/0!</v>
      </c>
      <c r="Q269" s="110"/>
      <c r="R269" s="110"/>
      <c r="S269" s="110"/>
      <c r="T269" s="110"/>
      <c r="U269" s="110"/>
      <c r="V269" s="110"/>
    </row>
    <row r="270" spans="2:22" hidden="1" x14ac:dyDescent="0.25">
      <c r="B270" s="226" t="s">
        <v>38</v>
      </c>
      <c r="C270" s="60">
        <f t="shared" ref="C270:P270" ca="1" si="132">OFFSET($G$306,C268,0)</f>
        <v>0</v>
      </c>
      <c r="D270" s="60">
        <f t="shared" ca="1" si="132"/>
        <v>0</v>
      </c>
      <c r="E270" s="60">
        <f t="shared" ca="1" si="132"/>
        <v>0</v>
      </c>
      <c r="F270" s="60">
        <f t="shared" ca="1" si="132"/>
        <v>9.9085993822613502E-2</v>
      </c>
      <c r="G270" s="60">
        <f t="shared" ca="1" si="132"/>
        <v>0.10235486311113892</v>
      </c>
      <c r="H270" s="60" t="str">
        <f t="shared" ca="1" si="132"/>
        <v>row_leverage</v>
      </c>
      <c r="I270" s="60" t="e">
        <f t="shared" ca="1" si="132"/>
        <v>#DIV/0!</v>
      </c>
      <c r="J270" s="60" t="e">
        <f t="shared" ca="1" si="132"/>
        <v>#DIV/0!</v>
      </c>
      <c r="K270" s="60" t="e">
        <f t="shared" ca="1" si="132"/>
        <v>#DIV/0!</v>
      </c>
      <c r="L270" s="60" t="e">
        <f t="shared" ca="1" si="132"/>
        <v>#DIV/0!</v>
      </c>
      <c r="M270" s="60" t="e">
        <f t="shared" ca="1" si="132"/>
        <v>#DIV/0!</v>
      </c>
      <c r="N270" s="60" t="e">
        <f t="shared" ca="1" si="132"/>
        <v>#DIV/0!</v>
      </c>
      <c r="O270" s="60" t="e">
        <f t="shared" ca="1" si="132"/>
        <v>#DIV/0!</v>
      </c>
      <c r="P270" s="180" t="e">
        <f t="shared" ca="1" si="132"/>
        <v>#DIV/0!</v>
      </c>
    </row>
    <row r="271" spans="2:22" hidden="1" x14ac:dyDescent="0.25">
      <c r="B271" s="117" t="s">
        <v>37</v>
      </c>
      <c r="C271" s="60">
        <f t="shared" ref="C271:P271" ca="1" si="133">OFFSET($H$306,C268,0)</f>
        <v>0</v>
      </c>
      <c r="D271" s="60">
        <f t="shared" ca="1" si="133"/>
        <v>0</v>
      </c>
      <c r="E271" s="60">
        <f t="shared" ca="1" si="133"/>
        <v>0</v>
      </c>
      <c r="F271" s="60">
        <f t="shared" ca="1" si="133"/>
        <v>1.0078792165068426</v>
      </c>
      <c r="G271" s="60">
        <f t="shared" ca="1" si="133"/>
        <v>0.99613484905039651</v>
      </c>
      <c r="H271" s="60">
        <f t="shared" ca="1" si="133"/>
        <v>0</v>
      </c>
      <c r="I271" s="60" t="e">
        <f t="shared" ca="1" si="133"/>
        <v>#DIV/0!</v>
      </c>
      <c r="J271" s="60" t="e">
        <f t="shared" ca="1" si="133"/>
        <v>#DIV/0!</v>
      </c>
      <c r="K271" s="60" t="e">
        <f t="shared" ca="1" si="133"/>
        <v>#DIV/0!</v>
      </c>
      <c r="L271" s="60" t="e">
        <f t="shared" ca="1" si="133"/>
        <v>#DIV/0!</v>
      </c>
      <c r="M271" s="60" t="e">
        <f t="shared" ca="1" si="133"/>
        <v>#DIV/0!</v>
      </c>
      <c r="N271" s="60" t="e">
        <f t="shared" ca="1" si="133"/>
        <v>#DIV/0!</v>
      </c>
      <c r="O271" s="60" t="e">
        <f t="shared" ca="1" si="133"/>
        <v>#DIV/0!</v>
      </c>
      <c r="P271" s="180" t="e">
        <f t="shared" ca="1" si="133"/>
        <v>#DIV/0!</v>
      </c>
    </row>
    <row r="272" spans="2:22" hidden="1" x14ac:dyDescent="0.25">
      <c r="B272" s="226" t="s">
        <v>39</v>
      </c>
      <c r="C272" s="60">
        <f t="shared" ref="C272:P272" ca="1" si="134">OFFSET($I$306,C268,0)</f>
        <v>0</v>
      </c>
      <c r="D272" s="60">
        <f t="shared" ca="1" si="134"/>
        <v>0</v>
      </c>
      <c r="E272" s="60">
        <f t="shared" ca="1" si="134"/>
        <v>0</v>
      </c>
      <c r="F272" s="60">
        <f t="shared" ca="1" si="134"/>
        <v>0.120000000005</v>
      </c>
      <c r="G272" s="60">
        <f t="shared" ca="1" si="134"/>
        <v>0.1200000000030001</v>
      </c>
      <c r="H272" s="60" t="str">
        <f t="shared" ca="1" si="134"/>
        <v>Debt / equity ratio</v>
      </c>
      <c r="I272" s="60" t="e">
        <f t="shared" ca="1" si="134"/>
        <v>#DIV/0!</v>
      </c>
      <c r="J272" s="60" t="e">
        <f t="shared" ca="1" si="134"/>
        <v>#DIV/0!</v>
      </c>
      <c r="K272" s="60" t="e">
        <f t="shared" ca="1" si="134"/>
        <v>#DIV/0!</v>
      </c>
      <c r="L272" s="60" t="e">
        <f t="shared" ca="1" si="134"/>
        <v>#DIV/0!</v>
      </c>
      <c r="M272" s="60" t="e">
        <f t="shared" ca="1" si="134"/>
        <v>#DIV/0!</v>
      </c>
      <c r="N272" s="60" t="e">
        <f t="shared" ca="1" si="134"/>
        <v>#DIV/0!</v>
      </c>
      <c r="O272" s="60" t="e">
        <f t="shared" ca="1" si="134"/>
        <v>#DIV/0!</v>
      </c>
      <c r="P272" s="180" t="e">
        <f t="shared" ca="1" si="134"/>
        <v>#DIV/0!</v>
      </c>
    </row>
    <row r="273" spans="2:22" hidden="1" x14ac:dyDescent="0.25">
      <c r="B273" s="226" t="s">
        <v>40</v>
      </c>
      <c r="C273" s="60">
        <f t="shared" ref="C273:P273" ca="1" si="135">OFFSET($D$299,C268,0)</f>
        <v>0</v>
      </c>
      <c r="D273" s="60">
        <f t="shared" ca="1" si="135"/>
        <v>0</v>
      </c>
      <c r="E273" s="60">
        <f t="shared" ca="1" si="135"/>
        <v>0</v>
      </c>
      <c r="F273" s="60">
        <f t="shared" ca="1" si="135"/>
        <v>4</v>
      </c>
      <c r="G273" s="60">
        <f t="shared" ca="1" si="135"/>
        <v>0</v>
      </c>
      <c r="H273" s="60">
        <f t="shared" ca="1" si="135"/>
        <v>5.0062761490697447</v>
      </c>
      <c r="I273" s="60" t="e">
        <f t="shared" ca="1" si="135"/>
        <v>#DIV/0!</v>
      </c>
      <c r="J273" s="60" t="e">
        <f t="shared" ca="1" si="135"/>
        <v>#DIV/0!</v>
      </c>
      <c r="K273" s="60" t="e">
        <f t="shared" ca="1" si="135"/>
        <v>#DIV/0!</v>
      </c>
      <c r="L273" s="60" t="e">
        <f t="shared" ca="1" si="135"/>
        <v>#DIV/0!</v>
      </c>
      <c r="M273" s="60" t="e">
        <f t="shared" ca="1" si="135"/>
        <v>#DIV/0!</v>
      </c>
      <c r="N273" s="60" t="e">
        <f t="shared" ca="1" si="135"/>
        <v>#DIV/0!</v>
      </c>
      <c r="O273" s="60" t="e">
        <f t="shared" ca="1" si="135"/>
        <v>#DIV/0!</v>
      </c>
      <c r="P273" s="180" t="e">
        <f t="shared" ca="1" si="135"/>
        <v>#DIV/0!</v>
      </c>
    </row>
    <row r="274" spans="2:22" hidden="1" x14ac:dyDescent="0.25">
      <c r="B274" s="226" t="s">
        <v>41</v>
      </c>
      <c r="C274" s="229">
        <f t="shared" ref="C274:P274" ca="1" si="136">C270*C269^3+C271*C269^2+C272*C269+C273</f>
        <v>0</v>
      </c>
      <c r="D274" s="229">
        <f t="shared" ca="1" si="136"/>
        <v>0</v>
      </c>
      <c r="E274" s="229">
        <f t="shared" ca="1" si="136"/>
        <v>0</v>
      </c>
      <c r="F274" s="229">
        <f t="shared" ca="1" si="136"/>
        <v>4.2631358257746816</v>
      </c>
      <c r="G274" s="229">
        <f t="shared" ca="1" si="136"/>
        <v>0.11310608513672005</v>
      </c>
      <c r="H274" s="229" t="e">
        <f t="shared" ca="1" si="136"/>
        <v>#VALUE!</v>
      </c>
      <c r="I274" s="229" t="e">
        <f t="shared" ca="1" si="136"/>
        <v>#DIV/0!</v>
      </c>
      <c r="J274" s="229" t="e">
        <f t="shared" ca="1" si="136"/>
        <v>#DIV/0!</v>
      </c>
      <c r="K274" s="229" t="e">
        <f t="shared" ca="1" si="136"/>
        <v>#DIV/0!</v>
      </c>
      <c r="L274" s="229" t="e">
        <f t="shared" ca="1" si="136"/>
        <v>#DIV/0!</v>
      </c>
      <c r="M274" s="229" t="e">
        <f t="shared" ca="1" si="136"/>
        <v>#DIV/0!</v>
      </c>
      <c r="N274" s="229" t="e">
        <f t="shared" ca="1" si="136"/>
        <v>#DIV/0!</v>
      </c>
      <c r="O274" s="229" t="e">
        <f t="shared" ca="1" si="136"/>
        <v>#DIV/0!</v>
      </c>
      <c r="P274" s="230" t="e">
        <f t="shared" ca="1" si="136"/>
        <v>#DIV/0!</v>
      </c>
      <c r="Q274" s="231"/>
      <c r="R274" s="231"/>
      <c r="S274" s="231"/>
      <c r="T274" s="231"/>
      <c r="U274" s="231"/>
      <c r="V274" s="231"/>
    </row>
    <row r="275" spans="2:22" hidden="1" x14ac:dyDescent="0.25">
      <c r="B275" s="226" t="s">
        <v>42</v>
      </c>
      <c r="C275" s="229">
        <f t="shared" ref="C275:P275" ca="1" si="137">IF(C267&lt;=$C$19,$D$19+(C267-$C$19)*$I$307,IF(C267&gt;=$C$15,IF($D$15=0,0,$I$303*EXP(-$I$302*C267)),C274))</f>
        <v>5.2367136489929692E-5</v>
      </c>
      <c r="D275" s="229">
        <f t="shared" ca="1" si="137"/>
        <v>5.2367136489929692E-5</v>
      </c>
      <c r="E275" s="229">
        <f t="shared" ca="1" si="137"/>
        <v>5.236713648992959E-5</v>
      </c>
      <c r="F275" s="229">
        <f t="shared" ca="1" si="137"/>
        <v>9.2040949055235411E-6</v>
      </c>
      <c r="G275" s="229">
        <f t="shared" ca="1" si="137"/>
        <v>1.8849641523069704E-7</v>
      </c>
      <c r="H275" s="229">
        <f t="shared" ca="1" si="137"/>
        <v>8.0103229473239992E-14</v>
      </c>
      <c r="I275" s="229" t="e">
        <f t="shared" ca="1" si="137"/>
        <v>#DIV/0!</v>
      </c>
      <c r="J275" s="229" t="e">
        <f t="shared" ca="1" si="137"/>
        <v>#DIV/0!</v>
      </c>
      <c r="K275" s="229" t="e">
        <f t="shared" ca="1" si="137"/>
        <v>#DIV/0!</v>
      </c>
      <c r="L275" s="229" t="e">
        <f t="shared" ca="1" si="137"/>
        <v>#DIV/0!</v>
      </c>
      <c r="M275" s="229" t="e">
        <f t="shared" ca="1" si="137"/>
        <v>#DIV/0!</v>
      </c>
      <c r="N275" s="229" t="e">
        <f t="shared" ca="1" si="137"/>
        <v>#DIV/0!</v>
      </c>
      <c r="O275" s="229" t="e">
        <f t="shared" ca="1" si="137"/>
        <v>#DIV/0!</v>
      </c>
      <c r="P275" s="230" t="e">
        <f t="shared" ca="1" si="137"/>
        <v>#DIV/0!</v>
      </c>
      <c r="Q275" s="231"/>
      <c r="R275" s="231"/>
      <c r="S275" s="231"/>
      <c r="T275" s="231"/>
      <c r="U275" s="231"/>
      <c r="V275" s="231"/>
    </row>
    <row r="276" spans="2:22" hidden="1" x14ac:dyDescent="0.25">
      <c r="B276" s="117"/>
      <c r="C276" s="60"/>
      <c r="D276" s="60"/>
      <c r="E276" s="60"/>
      <c r="F276" s="60"/>
      <c r="G276" s="60"/>
      <c r="H276" s="60"/>
      <c r="I276" s="60"/>
      <c r="J276" s="60"/>
      <c r="K276" s="60"/>
      <c r="L276" s="60"/>
      <c r="M276" s="60"/>
      <c r="N276" s="60"/>
      <c r="O276" s="60"/>
      <c r="P276" s="180"/>
    </row>
    <row r="277" spans="2:22" hidden="1" x14ac:dyDescent="0.25">
      <c r="B277" s="219">
        <f>B267+1</f>
        <v>7</v>
      </c>
      <c r="C277" s="157">
        <f t="shared" ref="C277:P277" ca="1" si="138">C$53/(C$49*(C$36+C275))</f>
        <v>14.338371370877304</v>
      </c>
      <c r="D277" s="157">
        <f t="shared" ca="1" si="138"/>
        <v>14.338371370877308</v>
      </c>
      <c r="E277" s="157">
        <f t="shared" ca="1" si="138"/>
        <v>14.338371370877308</v>
      </c>
      <c r="F277" s="157">
        <f t="shared" ca="1" si="138"/>
        <v>16.946317062452902</v>
      </c>
      <c r="G277" s="157">
        <f t="shared" ca="1" si="138"/>
        <v>22.778804221552384</v>
      </c>
      <c r="H277" s="157">
        <f t="shared" ca="1" si="138"/>
        <v>44.785714285624657</v>
      </c>
      <c r="I277" s="157" t="e">
        <f t="shared" ca="1" si="138"/>
        <v>#DIV/0!</v>
      </c>
      <c r="J277" s="157" t="e">
        <f t="shared" ca="1" si="138"/>
        <v>#DIV/0!</v>
      </c>
      <c r="K277" s="157" t="e">
        <f t="shared" ca="1" si="138"/>
        <v>#DIV/0!</v>
      </c>
      <c r="L277" s="157" t="e">
        <f t="shared" ca="1" si="138"/>
        <v>#DIV/0!</v>
      </c>
      <c r="M277" s="157" t="e">
        <f t="shared" ca="1" si="138"/>
        <v>#DIV/0!</v>
      </c>
      <c r="N277" s="157" t="e">
        <f t="shared" ca="1" si="138"/>
        <v>#DIV/0!</v>
      </c>
      <c r="O277" s="157" t="e">
        <f t="shared" ca="1" si="138"/>
        <v>#DIV/0!</v>
      </c>
      <c r="P277" s="232" t="e">
        <f t="shared" ca="1" si="138"/>
        <v>#DIV/0!</v>
      </c>
      <c r="Q277" s="233"/>
      <c r="R277" s="233"/>
      <c r="S277" s="233"/>
      <c r="T277" s="233"/>
      <c r="U277" s="233"/>
      <c r="V277" s="233"/>
    </row>
    <row r="278" spans="2:22" hidden="1" x14ac:dyDescent="0.25">
      <c r="B278" s="117" t="s">
        <v>24</v>
      </c>
      <c r="C278" s="223">
        <f t="shared" ref="C278:P278" ca="1" si="139">FLOOR((C277-$C$300)/$I$297,1)+1</f>
        <v>9</v>
      </c>
      <c r="D278" s="223">
        <f t="shared" ca="1" si="139"/>
        <v>9</v>
      </c>
      <c r="E278" s="223">
        <f t="shared" ca="1" si="139"/>
        <v>9</v>
      </c>
      <c r="F278" s="223">
        <f t="shared" ca="1" si="139"/>
        <v>11</v>
      </c>
      <c r="G278" s="223">
        <f t="shared" ca="1" si="139"/>
        <v>15</v>
      </c>
      <c r="H278" s="223">
        <f t="shared" ca="1" si="139"/>
        <v>29</v>
      </c>
      <c r="I278" s="223" t="e">
        <f t="shared" ca="1" si="139"/>
        <v>#DIV/0!</v>
      </c>
      <c r="J278" s="223" t="e">
        <f t="shared" ca="1" si="139"/>
        <v>#DIV/0!</v>
      </c>
      <c r="K278" s="223" t="e">
        <f t="shared" ca="1" si="139"/>
        <v>#DIV/0!</v>
      </c>
      <c r="L278" s="223" t="e">
        <f t="shared" ca="1" si="139"/>
        <v>#DIV/0!</v>
      </c>
      <c r="M278" s="223" t="e">
        <f t="shared" ca="1" si="139"/>
        <v>#DIV/0!</v>
      </c>
      <c r="N278" s="223" t="e">
        <f t="shared" ca="1" si="139"/>
        <v>#DIV/0!</v>
      </c>
      <c r="O278" s="223" t="e">
        <f t="shared" ca="1" si="139"/>
        <v>#DIV/0!</v>
      </c>
      <c r="P278" s="224" t="e">
        <f t="shared" ca="1" si="139"/>
        <v>#DIV/0!</v>
      </c>
      <c r="Q278" s="225"/>
      <c r="R278" s="225"/>
      <c r="S278" s="225"/>
      <c r="T278" s="225"/>
      <c r="U278" s="225"/>
      <c r="V278" s="225"/>
    </row>
    <row r="279" spans="2:22" hidden="1" x14ac:dyDescent="0.25">
      <c r="B279" s="226" t="s">
        <v>36</v>
      </c>
      <c r="C279" s="227">
        <f t="shared" ref="C279:P279" ca="1" si="140">C277-($C$300+(C278-1)*$I$297)</f>
        <v>0.8383713708773044</v>
      </c>
      <c r="D279" s="227">
        <f t="shared" ca="1" si="140"/>
        <v>0.83837137087730795</v>
      </c>
      <c r="E279" s="227">
        <f t="shared" ca="1" si="140"/>
        <v>0.83837137087730795</v>
      </c>
      <c r="F279" s="227">
        <f t="shared" ca="1" si="140"/>
        <v>0.44631706245290204</v>
      </c>
      <c r="G279" s="227">
        <f t="shared" ca="1" si="140"/>
        <v>0.27880422155238449</v>
      </c>
      <c r="H279" s="227">
        <f t="shared" ca="1" si="140"/>
        <v>1.2857142856246568</v>
      </c>
      <c r="I279" s="227" t="e">
        <f t="shared" ca="1" si="140"/>
        <v>#DIV/0!</v>
      </c>
      <c r="J279" s="227" t="e">
        <f t="shared" ca="1" si="140"/>
        <v>#DIV/0!</v>
      </c>
      <c r="K279" s="227" t="e">
        <f t="shared" ca="1" si="140"/>
        <v>#DIV/0!</v>
      </c>
      <c r="L279" s="227" t="e">
        <f t="shared" ca="1" si="140"/>
        <v>#DIV/0!</v>
      </c>
      <c r="M279" s="227" t="e">
        <f t="shared" ca="1" si="140"/>
        <v>#DIV/0!</v>
      </c>
      <c r="N279" s="227" t="e">
        <f t="shared" ca="1" si="140"/>
        <v>#DIV/0!</v>
      </c>
      <c r="O279" s="227" t="e">
        <f t="shared" ca="1" si="140"/>
        <v>#DIV/0!</v>
      </c>
      <c r="P279" s="228" t="e">
        <f t="shared" ca="1" si="140"/>
        <v>#DIV/0!</v>
      </c>
      <c r="Q279" s="110"/>
      <c r="R279" s="110"/>
      <c r="S279" s="110"/>
      <c r="T279" s="110"/>
      <c r="U279" s="110"/>
      <c r="V279" s="110"/>
    </row>
    <row r="280" spans="2:22" hidden="1" x14ac:dyDescent="0.25">
      <c r="B280" s="226" t="s">
        <v>38</v>
      </c>
      <c r="C280" s="60">
        <f t="shared" ref="C280:P280" ca="1" si="141">OFFSET($G$306,C278,0)</f>
        <v>0</v>
      </c>
      <c r="D280" s="60">
        <f t="shared" ca="1" si="141"/>
        <v>0</v>
      </c>
      <c r="E280" s="60">
        <f t="shared" ca="1" si="141"/>
        <v>0</v>
      </c>
      <c r="F280" s="60">
        <f t="shared" ca="1" si="141"/>
        <v>9.9085993822613502E-2</v>
      </c>
      <c r="G280" s="60">
        <f t="shared" ca="1" si="141"/>
        <v>0.10235486311113892</v>
      </c>
      <c r="H280" s="60" t="str">
        <f t="shared" ca="1" si="141"/>
        <v>row_leverage</v>
      </c>
      <c r="I280" s="60" t="e">
        <f t="shared" ca="1" si="141"/>
        <v>#DIV/0!</v>
      </c>
      <c r="J280" s="60" t="e">
        <f t="shared" ca="1" si="141"/>
        <v>#DIV/0!</v>
      </c>
      <c r="K280" s="60" t="e">
        <f t="shared" ca="1" si="141"/>
        <v>#DIV/0!</v>
      </c>
      <c r="L280" s="60" t="e">
        <f t="shared" ca="1" si="141"/>
        <v>#DIV/0!</v>
      </c>
      <c r="M280" s="60" t="e">
        <f t="shared" ca="1" si="141"/>
        <v>#DIV/0!</v>
      </c>
      <c r="N280" s="60" t="e">
        <f t="shared" ca="1" si="141"/>
        <v>#DIV/0!</v>
      </c>
      <c r="O280" s="60" t="e">
        <f t="shared" ca="1" si="141"/>
        <v>#DIV/0!</v>
      </c>
      <c r="P280" s="180" t="e">
        <f t="shared" ca="1" si="141"/>
        <v>#DIV/0!</v>
      </c>
    </row>
    <row r="281" spans="2:22" hidden="1" x14ac:dyDescent="0.25">
      <c r="B281" s="117" t="s">
        <v>37</v>
      </c>
      <c r="C281" s="60">
        <f t="shared" ref="C281:P281" ca="1" si="142">OFFSET($H$306,C278,0)</f>
        <v>0</v>
      </c>
      <c r="D281" s="60">
        <f t="shared" ca="1" si="142"/>
        <v>0</v>
      </c>
      <c r="E281" s="60">
        <f t="shared" ca="1" si="142"/>
        <v>0</v>
      </c>
      <c r="F281" s="60">
        <f t="shared" ca="1" si="142"/>
        <v>1.0078792165068426</v>
      </c>
      <c r="G281" s="60">
        <f t="shared" ca="1" si="142"/>
        <v>0.99613484905039651</v>
      </c>
      <c r="H281" s="60">
        <f t="shared" ca="1" si="142"/>
        <v>0</v>
      </c>
      <c r="I281" s="60" t="e">
        <f t="shared" ca="1" si="142"/>
        <v>#DIV/0!</v>
      </c>
      <c r="J281" s="60" t="e">
        <f t="shared" ca="1" si="142"/>
        <v>#DIV/0!</v>
      </c>
      <c r="K281" s="60" t="e">
        <f t="shared" ca="1" si="142"/>
        <v>#DIV/0!</v>
      </c>
      <c r="L281" s="60" t="e">
        <f t="shared" ca="1" si="142"/>
        <v>#DIV/0!</v>
      </c>
      <c r="M281" s="60" t="e">
        <f t="shared" ca="1" si="142"/>
        <v>#DIV/0!</v>
      </c>
      <c r="N281" s="60" t="e">
        <f t="shared" ca="1" si="142"/>
        <v>#DIV/0!</v>
      </c>
      <c r="O281" s="60" t="e">
        <f t="shared" ca="1" si="142"/>
        <v>#DIV/0!</v>
      </c>
      <c r="P281" s="180" t="e">
        <f t="shared" ca="1" si="142"/>
        <v>#DIV/0!</v>
      </c>
    </row>
    <row r="282" spans="2:22" hidden="1" x14ac:dyDescent="0.25">
      <c r="B282" s="226" t="s">
        <v>39</v>
      </c>
      <c r="C282" s="60">
        <f t="shared" ref="C282:P282" ca="1" si="143">OFFSET($I$306,C278,0)</f>
        <v>0</v>
      </c>
      <c r="D282" s="60">
        <f t="shared" ca="1" si="143"/>
        <v>0</v>
      </c>
      <c r="E282" s="60">
        <f t="shared" ca="1" si="143"/>
        <v>0</v>
      </c>
      <c r="F282" s="60">
        <f t="shared" ca="1" si="143"/>
        <v>0.120000000005</v>
      </c>
      <c r="G282" s="60">
        <f t="shared" ca="1" si="143"/>
        <v>0.1200000000030001</v>
      </c>
      <c r="H282" s="60" t="str">
        <f t="shared" ca="1" si="143"/>
        <v>Debt / equity ratio</v>
      </c>
      <c r="I282" s="60" t="e">
        <f t="shared" ca="1" si="143"/>
        <v>#DIV/0!</v>
      </c>
      <c r="J282" s="60" t="e">
        <f t="shared" ca="1" si="143"/>
        <v>#DIV/0!</v>
      </c>
      <c r="K282" s="60" t="e">
        <f t="shared" ca="1" si="143"/>
        <v>#DIV/0!</v>
      </c>
      <c r="L282" s="60" t="e">
        <f t="shared" ca="1" si="143"/>
        <v>#DIV/0!</v>
      </c>
      <c r="M282" s="60" t="e">
        <f t="shared" ca="1" si="143"/>
        <v>#DIV/0!</v>
      </c>
      <c r="N282" s="60" t="e">
        <f t="shared" ca="1" si="143"/>
        <v>#DIV/0!</v>
      </c>
      <c r="O282" s="60" t="e">
        <f t="shared" ca="1" si="143"/>
        <v>#DIV/0!</v>
      </c>
      <c r="P282" s="180" t="e">
        <f t="shared" ca="1" si="143"/>
        <v>#DIV/0!</v>
      </c>
    </row>
    <row r="283" spans="2:22" hidden="1" x14ac:dyDescent="0.25">
      <c r="B283" s="226" t="s">
        <v>40</v>
      </c>
      <c r="C283" s="60">
        <f t="shared" ref="C283:P283" ca="1" si="144">OFFSET($D$299,C278,0)</f>
        <v>0</v>
      </c>
      <c r="D283" s="60">
        <f t="shared" ca="1" si="144"/>
        <v>0</v>
      </c>
      <c r="E283" s="60">
        <f t="shared" ca="1" si="144"/>
        <v>0</v>
      </c>
      <c r="F283" s="60">
        <f t="shared" ca="1" si="144"/>
        <v>4</v>
      </c>
      <c r="G283" s="60">
        <f t="shared" ca="1" si="144"/>
        <v>0</v>
      </c>
      <c r="H283" s="60">
        <f t="shared" ca="1" si="144"/>
        <v>5.0062761490697447</v>
      </c>
      <c r="I283" s="60" t="e">
        <f t="shared" ca="1" si="144"/>
        <v>#DIV/0!</v>
      </c>
      <c r="J283" s="60" t="e">
        <f t="shared" ca="1" si="144"/>
        <v>#DIV/0!</v>
      </c>
      <c r="K283" s="60" t="e">
        <f t="shared" ca="1" si="144"/>
        <v>#DIV/0!</v>
      </c>
      <c r="L283" s="60" t="e">
        <f t="shared" ca="1" si="144"/>
        <v>#DIV/0!</v>
      </c>
      <c r="M283" s="60" t="e">
        <f t="shared" ca="1" si="144"/>
        <v>#DIV/0!</v>
      </c>
      <c r="N283" s="60" t="e">
        <f t="shared" ca="1" si="144"/>
        <v>#DIV/0!</v>
      </c>
      <c r="O283" s="60" t="e">
        <f t="shared" ca="1" si="144"/>
        <v>#DIV/0!</v>
      </c>
      <c r="P283" s="180" t="e">
        <f t="shared" ca="1" si="144"/>
        <v>#DIV/0!</v>
      </c>
    </row>
    <row r="284" spans="2:22" hidden="1" x14ac:dyDescent="0.25">
      <c r="B284" s="226" t="s">
        <v>41</v>
      </c>
      <c r="C284" s="229">
        <f t="shared" ref="C284:P284" ca="1" si="145">C280*C279^3+C281*C279^2+C282*C279+C283</f>
        <v>0</v>
      </c>
      <c r="D284" s="229">
        <f t="shared" ca="1" si="145"/>
        <v>0</v>
      </c>
      <c r="E284" s="229">
        <f t="shared" ca="1" si="145"/>
        <v>0</v>
      </c>
      <c r="F284" s="229">
        <f t="shared" ca="1" si="145"/>
        <v>4.2631358263253052</v>
      </c>
      <c r="G284" s="229">
        <f t="shared" ca="1" si="145"/>
        <v>0.11310608513672005</v>
      </c>
      <c r="H284" s="229" t="e">
        <f t="shared" ca="1" si="145"/>
        <v>#VALUE!</v>
      </c>
      <c r="I284" s="229" t="e">
        <f t="shared" ca="1" si="145"/>
        <v>#DIV/0!</v>
      </c>
      <c r="J284" s="229" t="e">
        <f t="shared" ca="1" si="145"/>
        <v>#DIV/0!</v>
      </c>
      <c r="K284" s="229" t="e">
        <f t="shared" ca="1" si="145"/>
        <v>#DIV/0!</v>
      </c>
      <c r="L284" s="229" t="e">
        <f t="shared" ca="1" si="145"/>
        <v>#DIV/0!</v>
      </c>
      <c r="M284" s="229" t="e">
        <f t="shared" ca="1" si="145"/>
        <v>#DIV/0!</v>
      </c>
      <c r="N284" s="229" t="e">
        <f t="shared" ca="1" si="145"/>
        <v>#DIV/0!</v>
      </c>
      <c r="O284" s="229" t="e">
        <f t="shared" ca="1" si="145"/>
        <v>#DIV/0!</v>
      </c>
      <c r="P284" s="230" t="e">
        <f t="shared" ca="1" si="145"/>
        <v>#DIV/0!</v>
      </c>
      <c r="Q284" s="231"/>
      <c r="R284" s="231"/>
      <c r="S284" s="231"/>
      <c r="T284" s="231"/>
      <c r="U284" s="231"/>
      <c r="V284" s="231"/>
    </row>
    <row r="285" spans="2:22" hidden="1" x14ac:dyDescent="0.25">
      <c r="B285" s="226" t="s">
        <v>42</v>
      </c>
      <c r="C285" s="229">
        <f t="shared" ref="C285:P285" ca="1" si="146">IF(C277&lt;=$C$19,$D$19+(C277-$C$19)*$I$307,IF(C277&gt;=$C$15,IF($D$15=0,0,$I$303*EXP(-$I$302*C277)),C284))</f>
        <v>5.2367121607789819E-5</v>
      </c>
      <c r="D285" s="229">
        <f t="shared" ca="1" si="146"/>
        <v>5.2367121607789724E-5</v>
      </c>
      <c r="E285" s="229">
        <f t="shared" ca="1" si="146"/>
        <v>5.2367121607789724E-5</v>
      </c>
      <c r="F285" s="229">
        <f t="shared" ca="1" si="146"/>
        <v>9.2040949023919095E-6</v>
      </c>
      <c r="G285" s="229">
        <f t="shared" ca="1" si="146"/>
        <v>1.8849641523069704E-7</v>
      </c>
      <c r="H285" s="229">
        <f t="shared" ca="1" si="146"/>
        <v>8.0103229473239992E-14</v>
      </c>
      <c r="I285" s="229" t="e">
        <f t="shared" ca="1" si="146"/>
        <v>#DIV/0!</v>
      </c>
      <c r="J285" s="229" t="e">
        <f t="shared" ca="1" si="146"/>
        <v>#DIV/0!</v>
      </c>
      <c r="K285" s="229" t="e">
        <f t="shared" ca="1" si="146"/>
        <v>#DIV/0!</v>
      </c>
      <c r="L285" s="229" t="e">
        <f t="shared" ca="1" si="146"/>
        <v>#DIV/0!</v>
      </c>
      <c r="M285" s="229" t="e">
        <f t="shared" ca="1" si="146"/>
        <v>#DIV/0!</v>
      </c>
      <c r="N285" s="229" t="e">
        <f t="shared" ca="1" si="146"/>
        <v>#DIV/0!</v>
      </c>
      <c r="O285" s="229" t="e">
        <f t="shared" ca="1" si="146"/>
        <v>#DIV/0!</v>
      </c>
      <c r="P285" s="230" t="e">
        <f t="shared" ca="1" si="146"/>
        <v>#DIV/0!</v>
      </c>
      <c r="Q285" s="231"/>
      <c r="R285" s="231"/>
      <c r="S285" s="231"/>
      <c r="T285" s="231"/>
      <c r="U285" s="231"/>
      <c r="V285" s="231"/>
    </row>
    <row r="286" spans="2:22" hidden="1" x14ac:dyDescent="0.25">
      <c r="B286" s="117"/>
      <c r="C286" s="157"/>
      <c r="D286" s="157"/>
      <c r="E286" s="157"/>
      <c r="F286" s="157"/>
      <c r="G286" s="157"/>
      <c r="H286" s="157"/>
      <c r="I286" s="157"/>
      <c r="J286" s="157"/>
      <c r="K286" s="157"/>
      <c r="L286" s="157"/>
      <c r="M286" s="157"/>
      <c r="N286" s="157"/>
      <c r="O286" s="157"/>
      <c r="P286" s="232"/>
      <c r="Q286" s="233"/>
      <c r="R286" s="233"/>
      <c r="S286" s="233"/>
      <c r="T286" s="233"/>
      <c r="U286" s="233"/>
      <c r="V286" s="233"/>
    </row>
    <row r="287" spans="2:22" hidden="1" x14ac:dyDescent="0.25">
      <c r="B287" s="219">
        <f>B277+1</f>
        <v>8</v>
      </c>
      <c r="C287" s="157">
        <f t="shared" ref="C287:P287" ca="1" si="147">C$53/(C$49*(C$36+C285))</f>
        <v>14.33837137620497</v>
      </c>
      <c r="D287" s="157">
        <f t="shared" ca="1" si="147"/>
        <v>14.338371376204972</v>
      </c>
      <c r="E287" s="157">
        <f t="shared" ca="1" si="147"/>
        <v>14.338371376204973</v>
      </c>
      <c r="F287" s="157">
        <f t="shared" ca="1" si="147"/>
        <v>16.946317062454231</v>
      </c>
      <c r="G287" s="157">
        <f t="shared" ca="1" si="147"/>
        <v>22.778804221552384</v>
      </c>
      <c r="H287" s="157">
        <f t="shared" ca="1" si="147"/>
        <v>44.785714285624657</v>
      </c>
      <c r="I287" s="157" t="e">
        <f t="shared" ca="1" si="147"/>
        <v>#DIV/0!</v>
      </c>
      <c r="J287" s="157" t="e">
        <f t="shared" ca="1" si="147"/>
        <v>#DIV/0!</v>
      </c>
      <c r="K287" s="157" t="e">
        <f t="shared" ca="1" si="147"/>
        <v>#DIV/0!</v>
      </c>
      <c r="L287" s="157" t="e">
        <f t="shared" ca="1" si="147"/>
        <v>#DIV/0!</v>
      </c>
      <c r="M287" s="157" t="e">
        <f t="shared" ca="1" si="147"/>
        <v>#DIV/0!</v>
      </c>
      <c r="N287" s="157" t="e">
        <f t="shared" ca="1" si="147"/>
        <v>#DIV/0!</v>
      </c>
      <c r="O287" s="157" t="e">
        <f t="shared" ca="1" si="147"/>
        <v>#DIV/0!</v>
      </c>
      <c r="P287" s="232" t="e">
        <f t="shared" ca="1" si="147"/>
        <v>#DIV/0!</v>
      </c>
      <c r="Q287" s="233"/>
      <c r="R287" s="233"/>
      <c r="S287" s="233"/>
      <c r="T287" s="233"/>
      <c r="U287" s="233"/>
      <c r="V287" s="233"/>
    </row>
    <row r="288" spans="2:22" hidden="1" x14ac:dyDescent="0.25">
      <c r="B288" s="117" t="s">
        <v>24</v>
      </c>
      <c r="C288" s="223">
        <f t="shared" ref="C288:P288" ca="1" si="148">FLOOR((C287-$C$300)/$I$297,1)+1</f>
        <v>9</v>
      </c>
      <c r="D288" s="223">
        <f t="shared" ca="1" si="148"/>
        <v>9</v>
      </c>
      <c r="E288" s="223">
        <f t="shared" ca="1" si="148"/>
        <v>9</v>
      </c>
      <c r="F288" s="223">
        <f t="shared" ca="1" si="148"/>
        <v>11</v>
      </c>
      <c r="G288" s="223">
        <f t="shared" ca="1" si="148"/>
        <v>15</v>
      </c>
      <c r="H288" s="223">
        <f t="shared" ca="1" si="148"/>
        <v>29</v>
      </c>
      <c r="I288" s="223" t="e">
        <f t="shared" ca="1" si="148"/>
        <v>#DIV/0!</v>
      </c>
      <c r="J288" s="223" t="e">
        <f t="shared" ca="1" si="148"/>
        <v>#DIV/0!</v>
      </c>
      <c r="K288" s="223" t="e">
        <f t="shared" ca="1" si="148"/>
        <v>#DIV/0!</v>
      </c>
      <c r="L288" s="223" t="e">
        <f t="shared" ca="1" si="148"/>
        <v>#DIV/0!</v>
      </c>
      <c r="M288" s="223" t="e">
        <f t="shared" ca="1" si="148"/>
        <v>#DIV/0!</v>
      </c>
      <c r="N288" s="223" t="e">
        <f t="shared" ca="1" si="148"/>
        <v>#DIV/0!</v>
      </c>
      <c r="O288" s="223" t="e">
        <f t="shared" ca="1" si="148"/>
        <v>#DIV/0!</v>
      </c>
      <c r="P288" s="224" t="e">
        <f t="shared" ca="1" si="148"/>
        <v>#DIV/0!</v>
      </c>
      <c r="Q288" s="225"/>
      <c r="R288" s="225"/>
      <c r="S288" s="225"/>
      <c r="T288" s="225"/>
      <c r="U288" s="225"/>
      <c r="V288" s="225"/>
    </row>
    <row r="289" spans="2:22" hidden="1" x14ac:dyDescent="0.25">
      <c r="B289" s="226" t="s">
        <v>36</v>
      </c>
      <c r="C289" s="227">
        <f t="shared" ref="C289:P289" ca="1" si="149">C287-($C$300+(C288-1)*$I$297)</f>
        <v>0.83837137620496982</v>
      </c>
      <c r="D289" s="227">
        <f t="shared" ca="1" si="149"/>
        <v>0.8383713762049716</v>
      </c>
      <c r="E289" s="227">
        <f t="shared" ca="1" si="149"/>
        <v>0.83837137620497337</v>
      </c>
      <c r="F289" s="227">
        <f t="shared" ca="1" si="149"/>
        <v>0.44631706245423075</v>
      </c>
      <c r="G289" s="227">
        <f t="shared" ca="1" si="149"/>
        <v>0.27880422155238449</v>
      </c>
      <c r="H289" s="227">
        <f t="shared" ca="1" si="149"/>
        <v>1.2857142856246568</v>
      </c>
      <c r="I289" s="227" t="e">
        <f t="shared" ca="1" si="149"/>
        <v>#DIV/0!</v>
      </c>
      <c r="J289" s="227" t="e">
        <f t="shared" ca="1" si="149"/>
        <v>#DIV/0!</v>
      </c>
      <c r="K289" s="227" t="e">
        <f t="shared" ca="1" si="149"/>
        <v>#DIV/0!</v>
      </c>
      <c r="L289" s="227" t="e">
        <f t="shared" ca="1" si="149"/>
        <v>#DIV/0!</v>
      </c>
      <c r="M289" s="227" t="e">
        <f t="shared" ca="1" si="149"/>
        <v>#DIV/0!</v>
      </c>
      <c r="N289" s="227" t="e">
        <f t="shared" ca="1" si="149"/>
        <v>#DIV/0!</v>
      </c>
      <c r="O289" s="227" t="e">
        <f t="shared" ca="1" si="149"/>
        <v>#DIV/0!</v>
      </c>
      <c r="P289" s="228" t="e">
        <f t="shared" ca="1" si="149"/>
        <v>#DIV/0!</v>
      </c>
      <c r="Q289" s="110"/>
      <c r="R289" s="110"/>
      <c r="S289" s="110"/>
      <c r="T289" s="110"/>
      <c r="U289" s="110"/>
      <c r="V289" s="110"/>
    </row>
    <row r="290" spans="2:22" hidden="1" x14ac:dyDescent="0.25">
      <c r="B290" s="226" t="s">
        <v>38</v>
      </c>
      <c r="C290" s="60">
        <f t="shared" ref="C290:P290" ca="1" si="150">OFFSET($G$306,C288,0)</f>
        <v>0</v>
      </c>
      <c r="D290" s="60">
        <f t="shared" ca="1" si="150"/>
        <v>0</v>
      </c>
      <c r="E290" s="60">
        <f t="shared" ca="1" si="150"/>
        <v>0</v>
      </c>
      <c r="F290" s="60">
        <f t="shared" ca="1" si="150"/>
        <v>9.9085993822613502E-2</v>
      </c>
      <c r="G290" s="60">
        <f t="shared" ca="1" si="150"/>
        <v>0.10235486311113892</v>
      </c>
      <c r="H290" s="60" t="str">
        <f t="shared" ca="1" si="150"/>
        <v>row_leverage</v>
      </c>
      <c r="I290" s="60" t="e">
        <f t="shared" ca="1" si="150"/>
        <v>#DIV/0!</v>
      </c>
      <c r="J290" s="60" t="e">
        <f t="shared" ca="1" si="150"/>
        <v>#DIV/0!</v>
      </c>
      <c r="K290" s="60" t="e">
        <f t="shared" ca="1" si="150"/>
        <v>#DIV/0!</v>
      </c>
      <c r="L290" s="60" t="e">
        <f t="shared" ca="1" si="150"/>
        <v>#DIV/0!</v>
      </c>
      <c r="M290" s="60" t="e">
        <f t="shared" ca="1" si="150"/>
        <v>#DIV/0!</v>
      </c>
      <c r="N290" s="60" t="e">
        <f t="shared" ca="1" si="150"/>
        <v>#DIV/0!</v>
      </c>
      <c r="O290" s="60" t="e">
        <f t="shared" ca="1" si="150"/>
        <v>#DIV/0!</v>
      </c>
      <c r="P290" s="180" t="e">
        <f t="shared" ca="1" si="150"/>
        <v>#DIV/0!</v>
      </c>
    </row>
    <row r="291" spans="2:22" hidden="1" x14ac:dyDescent="0.25">
      <c r="B291" s="117" t="s">
        <v>37</v>
      </c>
      <c r="C291" s="60">
        <f t="shared" ref="C291:P291" ca="1" si="151">OFFSET($H$306,C288,0)</f>
        <v>0</v>
      </c>
      <c r="D291" s="60">
        <f t="shared" ca="1" si="151"/>
        <v>0</v>
      </c>
      <c r="E291" s="60">
        <f t="shared" ca="1" si="151"/>
        <v>0</v>
      </c>
      <c r="F291" s="60">
        <f t="shared" ca="1" si="151"/>
        <v>1.0078792165068426</v>
      </c>
      <c r="G291" s="60">
        <f t="shared" ca="1" si="151"/>
        <v>0.99613484905039651</v>
      </c>
      <c r="H291" s="60">
        <f t="shared" ca="1" si="151"/>
        <v>0</v>
      </c>
      <c r="I291" s="60" t="e">
        <f t="shared" ca="1" si="151"/>
        <v>#DIV/0!</v>
      </c>
      <c r="J291" s="60" t="e">
        <f t="shared" ca="1" si="151"/>
        <v>#DIV/0!</v>
      </c>
      <c r="K291" s="60" t="e">
        <f t="shared" ca="1" si="151"/>
        <v>#DIV/0!</v>
      </c>
      <c r="L291" s="60" t="e">
        <f t="shared" ca="1" si="151"/>
        <v>#DIV/0!</v>
      </c>
      <c r="M291" s="60" t="e">
        <f t="shared" ca="1" si="151"/>
        <v>#DIV/0!</v>
      </c>
      <c r="N291" s="60" t="e">
        <f t="shared" ca="1" si="151"/>
        <v>#DIV/0!</v>
      </c>
      <c r="O291" s="60" t="e">
        <f t="shared" ca="1" si="151"/>
        <v>#DIV/0!</v>
      </c>
      <c r="P291" s="180" t="e">
        <f t="shared" ca="1" si="151"/>
        <v>#DIV/0!</v>
      </c>
    </row>
    <row r="292" spans="2:22" hidden="1" x14ac:dyDescent="0.25">
      <c r="B292" s="226" t="s">
        <v>39</v>
      </c>
      <c r="C292" s="60">
        <f t="shared" ref="C292:P292" ca="1" si="152">OFFSET($I$306,C288,0)</f>
        <v>0</v>
      </c>
      <c r="D292" s="60">
        <f t="shared" ca="1" si="152"/>
        <v>0</v>
      </c>
      <c r="E292" s="60">
        <f t="shared" ca="1" si="152"/>
        <v>0</v>
      </c>
      <c r="F292" s="60">
        <f t="shared" ca="1" si="152"/>
        <v>0.120000000005</v>
      </c>
      <c r="G292" s="60">
        <f t="shared" ca="1" si="152"/>
        <v>0.1200000000030001</v>
      </c>
      <c r="H292" s="60" t="str">
        <f t="shared" ca="1" si="152"/>
        <v>Debt / equity ratio</v>
      </c>
      <c r="I292" s="60" t="e">
        <f t="shared" ca="1" si="152"/>
        <v>#DIV/0!</v>
      </c>
      <c r="J292" s="60" t="e">
        <f t="shared" ca="1" si="152"/>
        <v>#DIV/0!</v>
      </c>
      <c r="K292" s="60" t="e">
        <f t="shared" ca="1" si="152"/>
        <v>#DIV/0!</v>
      </c>
      <c r="L292" s="60" t="e">
        <f t="shared" ca="1" si="152"/>
        <v>#DIV/0!</v>
      </c>
      <c r="M292" s="60" t="e">
        <f t="shared" ca="1" si="152"/>
        <v>#DIV/0!</v>
      </c>
      <c r="N292" s="60" t="e">
        <f t="shared" ca="1" si="152"/>
        <v>#DIV/0!</v>
      </c>
      <c r="O292" s="60" t="e">
        <f t="shared" ca="1" si="152"/>
        <v>#DIV/0!</v>
      </c>
      <c r="P292" s="180" t="e">
        <f t="shared" ca="1" si="152"/>
        <v>#DIV/0!</v>
      </c>
    </row>
    <row r="293" spans="2:22" hidden="1" x14ac:dyDescent="0.25">
      <c r="B293" s="226" t="s">
        <v>40</v>
      </c>
      <c r="C293" s="60">
        <f t="shared" ref="C293:P293" ca="1" si="153">OFFSET($D$299,C288,0)</f>
        <v>0</v>
      </c>
      <c r="D293" s="60">
        <f t="shared" ca="1" si="153"/>
        <v>0</v>
      </c>
      <c r="E293" s="60">
        <f t="shared" ca="1" si="153"/>
        <v>0</v>
      </c>
      <c r="F293" s="60">
        <f t="shared" ca="1" si="153"/>
        <v>4</v>
      </c>
      <c r="G293" s="60">
        <f t="shared" ca="1" si="153"/>
        <v>0</v>
      </c>
      <c r="H293" s="60">
        <f t="shared" ca="1" si="153"/>
        <v>5.0062761490697447</v>
      </c>
      <c r="I293" s="60" t="e">
        <f t="shared" ca="1" si="153"/>
        <v>#DIV/0!</v>
      </c>
      <c r="J293" s="60" t="e">
        <f t="shared" ca="1" si="153"/>
        <v>#DIV/0!</v>
      </c>
      <c r="K293" s="60" t="e">
        <f t="shared" ca="1" si="153"/>
        <v>#DIV/0!</v>
      </c>
      <c r="L293" s="60" t="e">
        <f t="shared" ca="1" si="153"/>
        <v>#DIV/0!</v>
      </c>
      <c r="M293" s="60" t="e">
        <f t="shared" ca="1" si="153"/>
        <v>#DIV/0!</v>
      </c>
      <c r="N293" s="60" t="e">
        <f t="shared" ca="1" si="153"/>
        <v>#DIV/0!</v>
      </c>
      <c r="O293" s="60" t="e">
        <f t="shared" ca="1" si="153"/>
        <v>#DIV/0!</v>
      </c>
      <c r="P293" s="180" t="e">
        <f t="shared" ca="1" si="153"/>
        <v>#DIV/0!</v>
      </c>
    </row>
    <row r="294" spans="2:22" hidden="1" x14ac:dyDescent="0.25">
      <c r="B294" s="226" t="s">
        <v>41</v>
      </c>
      <c r="C294" s="229">
        <f t="shared" ref="C294:P294" ca="1" si="154">C290*C289^3+C291*C289^2+C292*C289+C293</f>
        <v>0</v>
      </c>
      <c r="D294" s="229">
        <f t="shared" ca="1" si="154"/>
        <v>0</v>
      </c>
      <c r="E294" s="229">
        <f t="shared" ca="1" si="154"/>
        <v>0</v>
      </c>
      <c r="F294" s="229">
        <f t="shared" ca="1" si="154"/>
        <v>4.2631358263267387</v>
      </c>
      <c r="G294" s="229">
        <f t="shared" ca="1" si="154"/>
        <v>0.11310608513672005</v>
      </c>
      <c r="H294" s="229" t="e">
        <f t="shared" ca="1" si="154"/>
        <v>#VALUE!</v>
      </c>
      <c r="I294" s="229" t="e">
        <f t="shared" ca="1" si="154"/>
        <v>#DIV/0!</v>
      </c>
      <c r="J294" s="229" t="e">
        <f t="shared" ca="1" si="154"/>
        <v>#DIV/0!</v>
      </c>
      <c r="K294" s="229" t="e">
        <f t="shared" ca="1" si="154"/>
        <v>#DIV/0!</v>
      </c>
      <c r="L294" s="229" t="e">
        <f t="shared" ca="1" si="154"/>
        <v>#DIV/0!</v>
      </c>
      <c r="M294" s="229" t="e">
        <f t="shared" ca="1" si="154"/>
        <v>#DIV/0!</v>
      </c>
      <c r="N294" s="229" t="e">
        <f t="shared" ca="1" si="154"/>
        <v>#DIV/0!</v>
      </c>
      <c r="O294" s="229" t="e">
        <f t="shared" ca="1" si="154"/>
        <v>#DIV/0!</v>
      </c>
      <c r="P294" s="230" t="e">
        <f t="shared" ca="1" si="154"/>
        <v>#DIV/0!</v>
      </c>
      <c r="Q294" s="231"/>
      <c r="R294" s="231"/>
      <c r="S294" s="231"/>
      <c r="T294" s="231"/>
      <c r="U294" s="231"/>
      <c r="V294" s="231"/>
    </row>
    <row r="295" spans="2:22" hidden="1" x14ac:dyDescent="0.25">
      <c r="B295" s="226" t="s">
        <v>42</v>
      </c>
      <c r="C295" s="229">
        <f t="shared" ref="C295:P295" ca="1" si="155">IF(C287&lt;=$C$19,$D$19+(C287-$C$19)*$I$307,IF(C287&gt;=$C$15,IF($D$15=0,0,$I$303*EXP(-$I$302*C287)),C294))</f>
        <v>5.2367121421793547E-5</v>
      </c>
      <c r="D295" s="229">
        <f t="shared" ca="1" si="155"/>
        <v>5.2367121421793446E-5</v>
      </c>
      <c r="E295" s="229">
        <f t="shared" ca="1" si="155"/>
        <v>5.2367121421793357E-5</v>
      </c>
      <c r="F295" s="229">
        <f t="shared" ca="1" si="155"/>
        <v>9.2040949023837678E-6</v>
      </c>
      <c r="G295" s="229">
        <f t="shared" ca="1" si="155"/>
        <v>1.8849641523069704E-7</v>
      </c>
      <c r="H295" s="229">
        <f t="shared" ca="1" si="155"/>
        <v>8.0103229473239992E-14</v>
      </c>
      <c r="I295" s="229" t="e">
        <f t="shared" ca="1" si="155"/>
        <v>#DIV/0!</v>
      </c>
      <c r="J295" s="229" t="e">
        <f t="shared" ca="1" si="155"/>
        <v>#DIV/0!</v>
      </c>
      <c r="K295" s="229" t="e">
        <f t="shared" ca="1" si="155"/>
        <v>#DIV/0!</v>
      </c>
      <c r="L295" s="229" t="e">
        <f t="shared" ca="1" si="155"/>
        <v>#DIV/0!</v>
      </c>
      <c r="M295" s="229" t="e">
        <f t="shared" ca="1" si="155"/>
        <v>#DIV/0!</v>
      </c>
      <c r="N295" s="229" t="e">
        <f t="shared" ca="1" si="155"/>
        <v>#DIV/0!</v>
      </c>
      <c r="O295" s="229" t="e">
        <f t="shared" ca="1" si="155"/>
        <v>#DIV/0!</v>
      </c>
      <c r="P295" s="230" t="e">
        <f t="shared" ca="1" si="155"/>
        <v>#DIV/0!</v>
      </c>
      <c r="Q295" s="231"/>
      <c r="R295" s="231"/>
      <c r="S295" s="231"/>
      <c r="T295" s="231"/>
      <c r="U295" s="231"/>
      <c r="V295" s="231"/>
    </row>
    <row r="296" spans="2:22" hidden="1" x14ac:dyDescent="0.25">
      <c r="B296" s="117"/>
      <c r="C296" s="60"/>
      <c r="D296" s="60"/>
      <c r="E296" s="60"/>
      <c r="F296" s="60"/>
      <c r="G296" s="60"/>
      <c r="H296" s="60"/>
      <c r="I296" s="60"/>
      <c r="J296" s="60"/>
      <c r="K296" s="60"/>
      <c r="L296" s="60"/>
      <c r="M296" s="60"/>
      <c r="N296" s="60"/>
      <c r="O296" s="60"/>
      <c r="P296" s="180"/>
    </row>
    <row r="297" spans="2:22" hidden="1" x14ac:dyDescent="0.25">
      <c r="B297" s="234" t="s">
        <v>276</v>
      </c>
      <c r="C297" s="156"/>
      <c r="D297" s="235"/>
      <c r="E297" s="156"/>
      <c r="F297" s="156"/>
      <c r="G297" s="156"/>
      <c r="H297" s="156" t="s">
        <v>29</v>
      </c>
      <c r="I297" s="236">
        <f ca="1">C301-C300</f>
        <v>1.5</v>
      </c>
      <c r="J297" s="201"/>
      <c r="K297" s="60"/>
      <c r="L297" s="60"/>
      <c r="M297" s="60"/>
      <c r="N297" s="60"/>
      <c r="O297" s="60"/>
      <c r="P297" s="180"/>
    </row>
    <row r="298" spans="2:22" hidden="1" x14ac:dyDescent="0.25">
      <c r="B298" s="117"/>
      <c r="C298" s="60"/>
      <c r="D298" s="60"/>
      <c r="E298" s="227"/>
      <c r="F298" s="60"/>
      <c r="G298" s="60"/>
      <c r="H298" s="60" t="s">
        <v>34</v>
      </c>
      <c r="I298" s="60">
        <v>2.81</v>
      </c>
      <c r="J298" s="205"/>
      <c r="K298" s="60"/>
      <c r="L298" s="60"/>
      <c r="M298" s="60"/>
      <c r="N298" s="60"/>
      <c r="O298" s="60"/>
      <c r="P298" s="180"/>
    </row>
    <row r="299" spans="2:22" hidden="1" x14ac:dyDescent="0.25">
      <c r="B299" s="237" t="s">
        <v>24</v>
      </c>
      <c r="C299" s="156" t="s">
        <v>272</v>
      </c>
      <c r="D299" s="235" t="s">
        <v>25</v>
      </c>
      <c r="E299" s="156" t="s">
        <v>28</v>
      </c>
      <c r="F299" s="60"/>
      <c r="G299" s="60"/>
      <c r="H299" s="60" t="s">
        <v>24</v>
      </c>
      <c r="I299" s="227">
        <f ca="1">FLOOR((I298-C300)/I297,1)+1</f>
        <v>1</v>
      </c>
      <c r="J299" s="205"/>
      <c r="K299" s="60"/>
      <c r="L299" s="60"/>
      <c r="M299" s="60"/>
      <c r="N299" s="60"/>
      <c r="O299" s="60"/>
      <c r="P299" s="180"/>
    </row>
    <row r="300" spans="2:22" ht="13" hidden="1" thickBot="1" x14ac:dyDescent="0.3">
      <c r="B300" s="117">
        <v>1</v>
      </c>
      <c r="C300" s="238">
        <f ca="1">C19</f>
        <v>1.5</v>
      </c>
      <c r="D300" s="87">
        <f ca="1">D19</f>
        <v>7.0000000000000007E-2</v>
      </c>
      <c r="E300" s="60"/>
      <c r="F300" s="60"/>
      <c r="G300" s="60"/>
      <c r="H300" s="60" t="s">
        <v>27</v>
      </c>
      <c r="I300" s="227">
        <f ca="1">I298-(C300+(I299-1)*I297)</f>
        <v>1.31</v>
      </c>
      <c r="J300" s="205"/>
      <c r="K300" s="60"/>
      <c r="L300" s="60"/>
      <c r="M300" s="60"/>
      <c r="N300" s="60"/>
      <c r="O300" s="60"/>
      <c r="P300" s="180"/>
    </row>
    <row r="301" spans="2:22" hidden="1" x14ac:dyDescent="0.25">
      <c r="B301" s="117">
        <f>B300+1</f>
        <v>2</v>
      </c>
      <c r="C301" s="227">
        <f ca="1">C18</f>
        <v>3</v>
      </c>
      <c r="D301" s="87">
        <f ca="1">D18</f>
        <v>0.04</v>
      </c>
      <c r="E301" s="239">
        <f ca="1">6/($I$297^2)*(D300-2*D301+D302)</f>
        <v>2.6666666666666679E-2</v>
      </c>
      <c r="F301" s="60"/>
      <c r="G301" s="60"/>
      <c r="H301" s="60" t="s">
        <v>25</v>
      </c>
      <c r="I301" s="141">
        <f ca="1">IF(I298&lt;=C300,D300-(C300-I298)*I307,IF(I298&gt;=C15,I303*EXP(-I302*I298),OFFSET(J307,I299-1,0)))</f>
        <v>4.3374433677248678E-2</v>
      </c>
      <c r="J301" s="205"/>
      <c r="K301" s="60"/>
      <c r="L301" s="60"/>
      <c r="M301" s="60"/>
      <c r="N301" s="60"/>
      <c r="O301" s="60"/>
      <c r="P301" s="180"/>
    </row>
    <row r="302" spans="2:22" hidden="1" x14ac:dyDescent="0.25">
      <c r="B302" s="117">
        <f>B301+1</f>
        <v>3</v>
      </c>
      <c r="C302" s="227">
        <f ca="1">C17</f>
        <v>4.5</v>
      </c>
      <c r="D302" s="240">
        <f ca="1">D17</f>
        <v>0.02</v>
      </c>
      <c r="E302" s="241">
        <f ca="1">6/($I$297^2)*(D301-2*D302+D303)</f>
        <v>2.6666666666666665E-2</v>
      </c>
      <c r="F302" s="238"/>
      <c r="G302" s="60"/>
      <c r="H302" s="60" t="s">
        <v>43</v>
      </c>
      <c r="I302" s="60">
        <f ca="1">-I311/D15</f>
        <v>0.66666666666666674</v>
      </c>
      <c r="J302" s="205"/>
      <c r="K302" s="60"/>
      <c r="L302" s="60"/>
      <c r="M302" s="60"/>
      <c r="N302" s="60"/>
      <c r="O302" s="60"/>
      <c r="P302" s="180"/>
    </row>
    <row r="303" spans="2:22" ht="13" hidden="1" thickBot="1" x14ac:dyDescent="0.3">
      <c r="B303" s="117">
        <f>B302+1</f>
        <v>4</v>
      </c>
      <c r="C303" s="242">
        <f ca="1">C16</f>
        <v>6</v>
      </c>
      <c r="D303" s="240">
        <f ca="1">D16</f>
        <v>0.01</v>
      </c>
      <c r="E303" s="243">
        <f ca="1">6/($I$297^2)*(D302-2*D303+D304)</f>
        <v>1.3333333333333332E-2</v>
      </c>
      <c r="F303" s="60"/>
      <c r="G303" s="60"/>
      <c r="H303" s="60" t="s">
        <v>44</v>
      </c>
      <c r="I303" s="60">
        <f ca="1">D15*EXP(I302*C15)</f>
        <v>0.74206579551288376</v>
      </c>
      <c r="J303" s="205"/>
      <c r="K303" s="60"/>
      <c r="L303" s="60"/>
      <c r="M303" s="60"/>
      <c r="N303" s="60"/>
      <c r="O303" s="60"/>
      <c r="P303" s="180"/>
    </row>
    <row r="304" spans="2:22" hidden="1" x14ac:dyDescent="0.25">
      <c r="B304" s="117">
        <f>B303+1</f>
        <v>5</v>
      </c>
      <c r="C304" s="242">
        <f ca="1">C15</f>
        <v>7.5</v>
      </c>
      <c r="D304" s="111">
        <f ca="1">D15</f>
        <v>5.0000000000000001E-3</v>
      </c>
      <c r="E304" s="60"/>
      <c r="F304" s="60"/>
      <c r="G304" s="60"/>
      <c r="H304" s="60"/>
      <c r="I304" s="60"/>
      <c r="J304" s="205"/>
      <c r="K304" s="60"/>
      <c r="L304" s="60"/>
      <c r="M304" s="60"/>
      <c r="N304" s="60"/>
      <c r="O304" s="60"/>
      <c r="P304" s="180"/>
    </row>
    <row r="305" spans="1:24" hidden="1" x14ac:dyDescent="0.25">
      <c r="B305" s="117"/>
      <c r="C305" s="60"/>
      <c r="D305" s="60"/>
      <c r="E305" s="60"/>
      <c r="F305" s="60"/>
      <c r="G305" s="60"/>
      <c r="H305" s="60"/>
      <c r="I305" s="60"/>
      <c r="J305" s="205"/>
      <c r="K305" s="60"/>
      <c r="L305" s="60"/>
      <c r="M305" s="60"/>
      <c r="N305" s="60"/>
      <c r="O305" s="60"/>
      <c r="P305" s="180"/>
    </row>
    <row r="306" spans="1:24" ht="15.5" hidden="1" x14ac:dyDescent="0.4">
      <c r="B306" s="117"/>
      <c r="C306" s="60"/>
      <c r="D306" s="60"/>
      <c r="E306" s="60"/>
      <c r="F306" s="60"/>
      <c r="G306" s="102" t="s">
        <v>30</v>
      </c>
      <c r="H306" s="102" t="s">
        <v>31</v>
      </c>
      <c r="I306" s="102" t="s">
        <v>32</v>
      </c>
      <c r="J306" s="244" t="s">
        <v>33</v>
      </c>
      <c r="K306" s="60"/>
      <c r="L306" s="60"/>
      <c r="M306" s="60"/>
      <c r="N306" s="60"/>
      <c r="O306" s="60"/>
      <c r="P306" s="180"/>
    </row>
    <row r="307" spans="1:24" ht="13" hidden="1" thickBot="1" x14ac:dyDescent="0.3">
      <c r="B307" s="117"/>
      <c r="C307" s="60"/>
      <c r="D307" s="60"/>
      <c r="E307" s="60">
        <v>0</v>
      </c>
      <c r="F307" s="60"/>
      <c r="G307" s="227">
        <f ca="1">(E308-E307)/(6*$I$297)</f>
        <v>6.0846560846560883E-4</v>
      </c>
      <c r="H307" s="60">
        <f>E307/2</f>
        <v>0</v>
      </c>
      <c r="I307" s="227">
        <f ca="1">(D301-D300)/$I$297-(E308+2*E307)*$I$297/6</f>
        <v>-2.1369047619047624E-2</v>
      </c>
      <c r="J307" s="245">
        <f ca="1">G307*$I$300^3+H307*$I$300^2+I307*$I$300+D300</f>
        <v>4.3374433677248678E-2</v>
      </c>
      <c r="K307" s="60"/>
      <c r="L307" s="60"/>
      <c r="M307" s="60"/>
      <c r="N307" s="60"/>
      <c r="O307" s="60"/>
      <c r="P307" s="180"/>
    </row>
    <row r="308" spans="1:24" hidden="1" x14ac:dyDescent="0.25">
      <c r="B308" s="114">
        <v>4</v>
      </c>
      <c r="C308" s="246">
        <v>1</v>
      </c>
      <c r="D308" s="247">
        <v>0</v>
      </c>
      <c r="E308" s="60">
        <f t="array" aca="1" ref="E308:E310" ca="1">MMULT(MINVERSE(B308:D310),E301:E303)</f>
        <v>5.4761904761904791E-3</v>
      </c>
      <c r="F308" s="60"/>
      <c r="G308" s="227">
        <f ca="1">(E309-E308)/(6*$I$297)</f>
        <v>-7.9365079365079839E-5</v>
      </c>
      <c r="H308" s="60">
        <f ca="1">E308/2</f>
        <v>2.7380952380952396E-3</v>
      </c>
      <c r="I308" s="227">
        <f ca="1">(D302-D301)/$I$297-(E309+2*E308)*$I$297/6</f>
        <v>-1.7261904761904763E-2</v>
      </c>
      <c r="J308" s="245">
        <f ca="1">G308*$I$300^3+H308*$I$300^2+I308*$I$300+D301</f>
        <v>2.190733007936508E-2</v>
      </c>
      <c r="K308" s="60"/>
      <c r="L308" s="60"/>
      <c r="M308" s="60"/>
      <c r="N308" s="60"/>
      <c r="O308" s="60"/>
      <c r="P308" s="180"/>
    </row>
    <row r="309" spans="1:24" hidden="1" x14ac:dyDescent="0.25">
      <c r="B309" s="117">
        <v>1</v>
      </c>
      <c r="C309" s="60">
        <v>4</v>
      </c>
      <c r="D309" s="180">
        <v>1</v>
      </c>
      <c r="E309" s="60">
        <f ca="1"/>
        <v>4.7619047619047606E-3</v>
      </c>
      <c r="F309" s="60"/>
      <c r="G309" s="227">
        <f ca="1">(E310-E309)/(6*$I$297)</f>
        <v>-2.9100529100529088E-4</v>
      </c>
      <c r="H309" s="60">
        <f ca="1">E309/2</f>
        <v>2.3809523809523803E-3</v>
      </c>
      <c r="I309" s="227">
        <f ca="1">(D303-D302)/$I$297-(E310+2*E309)*$I$297/6</f>
        <v>-9.5833333333333326E-3</v>
      </c>
      <c r="J309" s="245">
        <f ca="1">G309*$I$300^3+H309*$I$300^2+I309*$I$300+D302</f>
        <v>1.0877579338624339E-2</v>
      </c>
      <c r="K309" s="60"/>
      <c r="L309" s="60"/>
      <c r="M309" s="60"/>
      <c r="N309" s="60"/>
      <c r="O309" s="60"/>
      <c r="P309" s="180"/>
    </row>
    <row r="310" spans="1:24" ht="13" hidden="1" thickBot="1" x14ac:dyDescent="0.3">
      <c r="B310" s="122">
        <v>0</v>
      </c>
      <c r="C310" s="192">
        <v>1</v>
      </c>
      <c r="D310" s="193">
        <v>4</v>
      </c>
      <c r="E310" s="60">
        <f ca="1"/>
        <v>2.1428571428571425E-3</v>
      </c>
      <c r="F310" s="60"/>
      <c r="G310" s="227">
        <f ca="1">(E311-E310)/(6*$I$297)</f>
        <v>-2.3809523809523807E-4</v>
      </c>
      <c r="H310" s="60">
        <f ca="1">E310/2</f>
        <v>1.0714285714285713E-3</v>
      </c>
      <c r="I310" s="227">
        <f ca="1">(D304-D303)/$I$297-(E311+2*E310)*$I$297/6</f>
        <v>-4.4047619047619044E-3</v>
      </c>
      <c r="J310" s="245">
        <f ca="1">G310*$I$300^3+H310*$I$300^2+I310*$I$300+D303</f>
        <v>5.5331807142857143E-3</v>
      </c>
      <c r="K310" s="60"/>
      <c r="L310" s="60"/>
      <c r="M310" s="60"/>
      <c r="N310" s="60"/>
      <c r="O310" s="60"/>
      <c r="P310" s="180"/>
    </row>
    <row r="311" spans="1:24" ht="13" hidden="1" thickBot="1" x14ac:dyDescent="0.3">
      <c r="B311" s="122"/>
      <c r="C311" s="192"/>
      <c r="D311" s="192"/>
      <c r="E311" s="192">
        <v>0</v>
      </c>
      <c r="F311" s="192"/>
      <c r="G311" s="248">
        <f ca="1">(H23-E311)/(6*$I$297)</f>
        <v>0</v>
      </c>
      <c r="H311" s="192">
        <f>E311/2</f>
        <v>0</v>
      </c>
      <c r="I311" s="248">
        <f ca="1">(D305-D304)/$I$297-(H23+2*E311)*$I$297/6</f>
        <v>-3.3333333333333335E-3</v>
      </c>
      <c r="J311" s="249">
        <f ca="1">G311*$I$300^3+H311*$I$300^2+I311*$I$300+D304</f>
        <v>6.3333333333333297E-4</v>
      </c>
      <c r="K311" s="192"/>
      <c r="L311" s="192"/>
      <c r="M311" s="192"/>
      <c r="N311" s="192"/>
      <c r="O311" s="192"/>
      <c r="P311" s="193"/>
    </row>
    <row r="313" spans="1:24" ht="13" hidden="1" x14ac:dyDescent="0.3">
      <c r="A313" s="250"/>
      <c r="B313" s="17" t="s">
        <v>273</v>
      </c>
      <c r="C313" s="251"/>
      <c r="D313" s="251"/>
      <c r="E313" s="251"/>
      <c r="F313" s="251"/>
      <c r="G313" s="251"/>
      <c r="H313" s="251"/>
      <c r="I313" s="251"/>
      <c r="J313" s="252"/>
      <c r="K313" s="251"/>
      <c r="L313" s="251"/>
      <c r="M313" s="251"/>
      <c r="N313" s="251"/>
      <c r="O313" s="251"/>
      <c r="P313" s="251"/>
      <c r="Q313" s="251"/>
      <c r="R313" s="251"/>
      <c r="S313" s="251"/>
      <c r="T313" s="251"/>
      <c r="U313" s="251"/>
      <c r="V313" s="251"/>
      <c r="W313" s="251"/>
      <c r="X313" s="251"/>
    </row>
    <row r="314" spans="1:24" s="144" customFormat="1" hidden="1" x14ac:dyDescent="0.25">
      <c r="B314" s="144" t="s">
        <v>316</v>
      </c>
      <c r="C314" s="253">
        <f ca="1">OFFSET('Assumptions vary'!G177,'Assumptions vary'!C185-1,0)</f>
        <v>0</v>
      </c>
      <c r="E314" s="144" t="s">
        <v>318</v>
      </c>
      <c r="F314" s="144" t="str">
        <f ca="1">OFFSET('Assumptions vary'!D177,'Assumptions vary'!C185-1,0)</f>
        <v>Debt / equity ratio</v>
      </c>
      <c r="J314" s="254"/>
    </row>
    <row r="315" spans="1:24" s="144" customFormat="1" hidden="1" x14ac:dyDescent="0.25">
      <c r="B315" s="144" t="s">
        <v>317</v>
      </c>
      <c r="C315" s="253">
        <f ca="1">OFFSET('Assumptions vary'!G177,'Assumptions vary'!C185-1,1)</f>
        <v>0.1</v>
      </c>
      <c r="J315" s="254"/>
    </row>
    <row r="316" spans="1:24" ht="50.5" hidden="1" thickBot="1" x14ac:dyDescent="0.3">
      <c r="A316" s="250"/>
      <c r="B316" s="60"/>
      <c r="C316" s="60"/>
      <c r="D316" s="187" t="str">
        <f>row_pe</f>
        <v>P/E ratio</v>
      </c>
      <c r="E316" s="187" t="str">
        <f>row_ev_ebitda</f>
        <v>Enterprise value / EBITDA</v>
      </c>
      <c r="F316" s="187" t="str">
        <f>row_roe</f>
        <v>Return on equity</v>
      </c>
      <c r="G316" s="187" t="str">
        <f>row_wacc</f>
        <v>Cost of capital [WACC]</v>
      </c>
      <c r="H316" s="187" t="str">
        <f>row_mvf_f</f>
        <v>Firm [market / book] ratio</v>
      </c>
      <c r="I316" s="187" t="str">
        <f>row_roc</f>
        <v>Return on capital</v>
      </c>
      <c r="J316" s="187" t="str">
        <f>row_mve</f>
        <v>Market value of equity</v>
      </c>
      <c r="K316" s="187" t="str">
        <f>row_mvf</f>
        <v>Market value of firm</v>
      </c>
      <c r="L316" s="187" t="str">
        <f>row_fcfe</f>
        <v>Free cash flow to equity</v>
      </c>
      <c r="M316" s="255" t="str">
        <f>row_fcff</f>
        <v>Free cash flow to the firm</v>
      </c>
      <c r="N316" s="255" t="str">
        <f>row_mve_e</f>
        <v>Equity [market / book] ratio</v>
      </c>
      <c r="O316" s="255" t="s">
        <v>22</v>
      </c>
      <c r="P316" s="255" t="s">
        <v>147</v>
      </c>
      <c r="Q316" s="3" t="s">
        <v>209</v>
      </c>
      <c r="R316" s="3" t="str">
        <f ca="1">'Assumptions vary'!N128</f>
        <v>row_eva_aip</v>
      </c>
      <c r="S316" s="60" t="s">
        <v>227</v>
      </c>
      <c r="T316" s="60" t="str">
        <f ca="1">'Assumptions vary'!N129</f>
        <v>row_eva_ga</v>
      </c>
      <c r="U316" s="3" t="str">
        <f ca="1">'Assumptions vary'!N130</f>
        <v>row_eva</v>
      </c>
      <c r="X316" s="3" t="s">
        <v>234</v>
      </c>
    </row>
    <row r="317" spans="1:24" ht="13.5" hidden="1" thickBot="1" x14ac:dyDescent="0.35">
      <c r="A317" s="250"/>
      <c r="B317" s="256" t="str">
        <f>"[" &amp;ADDRESS(ROW(G172),COLUMN(G172),4)&amp;"]"</f>
        <v>[G172]</v>
      </c>
      <c r="C317" s="257"/>
      <c r="D317" s="258">
        <f ca="1">OFFSET(C121,0,'Assumptions vary'!$H$22-1)+$C$7*epsilon</f>
        <v>6.0959671966423121</v>
      </c>
      <c r="E317" s="258">
        <f ca="1">OFFSET(C120,0,'Assumptions vary'!$H$22-1)+$C$7*epsilon</f>
        <v>5.2650406832235817</v>
      </c>
      <c r="F317" s="259">
        <f ca="1">OFFSET(C105,0,'Assumptions vary'!$H$22-1)+$C$7*epsilon</f>
        <v>0.16598167151250234</v>
      </c>
      <c r="G317" s="259">
        <f ca="1">OFFSET(C104,0,'Assumptions vary'!$H$22-1)+$C$7*epsilon</f>
        <v>9.9085993822613502E-2</v>
      </c>
      <c r="H317" s="258">
        <f ca="1">OFFSET(C94,0,'Assumptions vary'!$H$22-1)/OFFSET(C48,0,'Assumptions vary'!$H$22-1)+$C$7*epsilon</f>
        <v>1.0078792165068426</v>
      </c>
      <c r="I317" s="259">
        <f ca="1">OFFSET(C32,0,'Assumptions vary'!$H$22-1)+$C$7*epsilon</f>
        <v>0.120000000005</v>
      </c>
      <c r="J317" s="258">
        <f ca="1">OFFSET(C92,0,'Assumptions vary'!$H$22-1)+$C$7*epsilon</f>
        <v>80.945505980226145</v>
      </c>
      <c r="K317" s="258">
        <f ca="1">OFFSET(C94,0,'Assumptions vary'!$H$22-1)+$C$7*epsilon</f>
        <v>120.94550598022613</v>
      </c>
      <c r="L317" s="258">
        <f ca="1">OFFSET(C87,0,'Assumptions vary'!$H$22-1)+$C$7*epsilon</f>
        <v>9.2785337206051874</v>
      </c>
      <c r="M317" s="258">
        <f ca="1">OFFSET(C89,0,'Assumptions vary'!$H$22-1)+$C$7*epsilon</f>
        <v>8.4000000000049972</v>
      </c>
      <c r="N317" s="258">
        <f ca="1">OFFSET(C92,0,'Assumptions vary'!$H$22-1)/OFFSET(C50,0,'Assumptions vary'!$H$22-1)+$C$7*epsilon</f>
        <v>1.0118188247577642</v>
      </c>
      <c r="O317" s="260">
        <f ca="1">OFFSET(C44,0,'Assumptions vary'!$H$22-1)+$C$7*epsilon</f>
        <v>0.13419570669535974</v>
      </c>
      <c r="P317" s="261">
        <f ca="1">OFFSET(C103,0,'Assumptions vary'!$H$22-1)+$C$7*epsilon</f>
        <v>2.8036656989995256E-2</v>
      </c>
      <c r="Q317" s="246">
        <f ca="1">OFFSET(C93,0,'Assumptions vary'!$H$22-1)+$C$7*epsilon</f>
        <v>40.000000000004995</v>
      </c>
      <c r="R317" s="246">
        <f ca="1">OFFSET(INDIRECT(R316),0,'Assumptions vary'!$H$22)+$C$7*epsilon</f>
        <v>2.9025490255727586</v>
      </c>
      <c r="S317" s="246" t="str">
        <f ca="1">B3</f>
        <v/>
      </c>
      <c r="T317" s="246">
        <f ca="1">OFFSET(INDIRECT(T316),0,'Assumptions vary'!$H$22)+$C$7*epsilon</f>
        <v>-1.9570430453417025</v>
      </c>
      <c r="U317" s="247">
        <f ca="1">OFFSET(INDIRECT(U316),0,'Assumptions vary'!$H$22)+$C$7*epsilon</f>
        <v>0.94550598022605614</v>
      </c>
      <c r="V317" s="262">
        <v>0</v>
      </c>
      <c r="W317" s="262" t="e">
        <f>MATCH(1,V317:V329,0)</f>
        <v>#N/A</v>
      </c>
    </row>
    <row r="318" spans="1:24" hidden="1" x14ac:dyDescent="0.25">
      <c r="A318" s="250"/>
      <c r="B318" s="111">
        <f t="shared" ref="B318:B329" ca="1" si="156">C318-dt_threshold</f>
        <v>1.0379157174611464E-5</v>
      </c>
      <c r="C318" s="263">
        <f ca="1">dt_threshold+magic_number+C314</f>
        <v>-9999.9999896208428</v>
      </c>
      <c r="D318" s="264">
        <f t="dataTable" ref="D318:U329" dt2D="0" dtr="0" r1="G172" ca="1"/>
        <v>8.0899490027134355</v>
      </c>
      <c r="E318" s="258">
        <v>5.071353252457615</v>
      </c>
      <c r="F318" s="259">
        <v>0.12000095488246017</v>
      </c>
      <c r="G318" s="265">
        <v>0.10999964718998927</v>
      </c>
      <c r="H318" s="258">
        <v>0.97080190832760049</v>
      </c>
      <c r="I318" s="259">
        <v>0.12000000000000009</v>
      </c>
      <c r="J318" s="258">
        <v>116.49498351337819</v>
      </c>
      <c r="K318" s="258">
        <v>116.49622899931205</v>
      </c>
      <c r="L318" s="258">
        <v>8.4000274006905435</v>
      </c>
      <c r="M318" s="258">
        <v>8.3999999999999986</v>
      </c>
      <c r="N318" s="258">
        <v>0.97080160527601789</v>
      </c>
      <c r="O318" s="246">
        <v>0.11000052387501102</v>
      </c>
      <c r="P318" s="261">
        <v>2.8000000000000101E-2</v>
      </c>
      <c r="Q318" s="246">
        <v>1.2454859338676106E-3</v>
      </c>
      <c r="R318" s="246">
        <v>-1.3075025257660611</v>
      </c>
      <c r="S318" s="246" t="str">
        <v/>
      </c>
      <c r="T318" s="246">
        <v>-2.1962684749218999</v>
      </c>
      <c r="U318" s="247">
        <v>-3.5037710006879612</v>
      </c>
      <c r="V318" s="262">
        <f t="shared" ref="V318:V329" si="157">V317+(LEN(S318)&gt;0)</f>
        <v>0</v>
      </c>
      <c r="W318" s="262" t="str">
        <f ca="1">IF(ISERROR(W317),"",OFFSET(S317,W317-1,0))</f>
        <v/>
      </c>
      <c r="X318" s="266">
        <f>W321</f>
        <v>5.4869540975473186</v>
      </c>
    </row>
    <row r="319" spans="1:24" hidden="1" x14ac:dyDescent="0.25">
      <c r="B319" s="111">
        <f t="shared" ca="1" si="156"/>
        <v>0.10001037915753841</v>
      </c>
      <c r="C319" s="263">
        <f ca="1">C318+$C$315</f>
        <v>-9999.8999896208425</v>
      </c>
      <c r="D319" s="267">
        <v>7.5749248982418695</v>
      </c>
      <c r="E319" s="149">
        <v>5.1226690079855608</v>
      </c>
      <c r="F319" s="111">
        <v>0.12920095488349359</v>
      </c>
      <c r="G319" s="268">
        <v>0.10694043857594117</v>
      </c>
      <c r="H319" s="149">
        <v>0.98062521010090165</v>
      </c>
      <c r="I319" s="111">
        <v>0.1200000000010001</v>
      </c>
      <c r="J319" s="149">
        <v>106.7649049746729</v>
      </c>
      <c r="K319" s="149">
        <v>117.67502521198918</v>
      </c>
      <c r="L319" s="149">
        <v>8.6400226452219506</v>
      </c>
      <c r="M319" s="149">
        <v>8.4000000000009951</v>
      </c>
      <c r="N319" s="149">
        <v>0.97868753001689512</v>
      </c>
      <c r="O319" s="60">
        <v>0.11500722491030264</v>
      </c>
      <c r="P319" s="141">
        <v>2.8000000001000402E-2</v>
      </c>
      <c r="Q319" s="60">
        <v>10.910120237317276</v>
      </c>
      <c r="R319" s="60">
        <v>-0.18802840609371346</v>
      </c>
      <c r="S319" s="60" t="str">
        <v/>
      </c>
      <c r="T319" s="60">
        <v>-2.1369463819161352</v>
      </c>
      <c r="U319" s="180">
        <v>-2.3249747880108487</v>
      </c>
      <c r="V319" s="262">
        <f t="shared" si="157"/>
        <v>0</v>
      </c>
      <c r="W319" s="262" t="str">
        <f ca="1">IF(ISERROR(W317),"",OFFSET(B317,W317-1,0))</f>
        <v/>
      </c>
      <c r="X319" s="266">
        <f>X318-W323</f>
        <v>5.4874108869327287</v>
      </c>
    </row>
    <row r="320" spans="1:24" hidden="1" x14ac:dyDescent="0.25">
      <c r="A320" s="147"/>
      <c r="B320" s="111">
        <f t="shared" ca="1" si="156"/>
        <v>0.20001037915790221</v>
      </c>
      <c r="C320" s="263">
        <f t="shared" ref="C320:C329" ca="1" si="158">C319+$C$315</f>
        <v>-9999.7999896208421</v>
      </c>
      <c r="D320" s="267">
        <v>7.1296683740831615</v>
      </c>
      <c r="E320" s="149">
        <v>5.1662134039912715</v>
      </c>
      <c r="F320" s="111">
        <v>0.13840095437949843</v>
      </c>
      <c r="G320" s="268">
        <v>0.10443836645034804</v>
      </c>
      <c r="H320" s="149">
        <v>0.98896085162280323</v>
      </c>
      <c r="I320" s="111">
        <v>0.1200000000020001</v>
      </c>
      <c r="J320" s="149">
        <v>98.674437272154165</v>
      </c>
      <c r="K320" s="149">
        <v>118.67530219449839</v>
      </c>
      <c r="L320" s="149">
        <v>8.8400189777911375</v>
      </c>
      <c r="M320" s="149">
        <v>8.400000000001997</v>
      </c>
      <c r="N320" s="149">
        <v>0.98675290736989962</v>
      </c>
      <c r="O320" s="60">
        <v>0.11993207924953005</v>
      </c>
      <c r="P320" s="141">
        <v>2.8000002527012392E-2</v>
      </c>
      <c r="Q320" s="60">
        <v>20.000864922346217</v>
      </c>
      <c r="R320" s="60">
        <v>0.75972956290722815</v>
      </c>
      <c r="S320" s="60" t="str">
        <v/>
      </c>
      <c r="T320" s="60">
        <v>-2.0844273684068706</v>
      </c>
      <c r="U320" s="180">
        <v>-1.3246978055016425</v>
      </c>
      <c r="V320" s="262">
        <f t="shared" si="157"/>
        <v>0</v>
      </c>
      <c r="W320" s="3" t="s">
        <v>234</v>
      </c>
      <c r="X320" s="266">
        <f>X319-W323</f>
        <v>5.4878676763181389</v>
      </c>
    </row>
    <row r="321" spans="1:24" hidden="1" x14ac:dyDescent="0.25">
      <c r="A321" s="147"/>
      <c r="B321" s="111">
        <f t="shared" ca="1" si="156"/>
        <v>0.30001037915826601</v>
      </c>
      <c r="C321" s="263">
        <f t="shared" ca="1" si="158"/>
        <v>-9999.6999896208417</v>
      </c>
      <c r="D321" s="267">
        <v>6.7409882629807276</v>
      </c>
      <c r="E321" s="149">
        <v>5.2036895099520866</v>
      </c>
      <c r="F321" s="111">
        <v>0.14760080048341614</v>
      </c>
      <c r="G321" s="268">
        <v>0.10235486311113892</v>
      </c>
      <c r="H321" s="149">
        <v>0.99613484905039651</v>
      </c>
      <c r="I321" s="111">
        <v>0.1200000000030001</v>
      </c>
      <c r="J321" s="149">
        <v>91.843137217614839</v>
      </c>
      <c r="K321" s="149">
        <v>119.53618188569057</v>
      </c>
      <c r="L321" s="149">
        <v>9.0092327303088169</v>
      </c>
      <c r="M321" s="149">
        <v>8.4000000000029988</v>
      </c>
      <c r="N321" s="149">
        <v>0.99497526364760203</v>
      </c>
      <c r="O321" s="60">
        <v>0.12477459261223051</v>
      </c>
      <c r="P321" s="141">
        <v>2.8000514659009209E-2</v>
      </c>
      <c r="Q321" s="60">
        <v>27.693044668078723</v>
      </c>
      <c r="R321" s="60">
        <v>1.5736982571360203</v>
      </c>
      <c r="S321" s="60" t="str">
        <v/>
      </c>
      <c r="T321" s="60">
        <v>-2.0375163714424751</v>
      </c>
      <c r="U321" s="180">
        <v>-0.46381811430945519</v>
      </c>
      <c r="V321" s="262">
        <f t="shared" si="157"/>
        <v>0</v>
      </c>
      <c r="W321" s="3">
        <f>MAX(R318:R329,T318:U329)*1.001</f>
        <v>5.4869540975473186</v>
      </c>
      <c r="X321" s="266">
        <f>X320-W323</f>
        <v>5.488324465703549</v>
      </c>
    </row>
    <row r="322" spans="1:24" hidden="1" x14ac:dyDescent="0.25">
      <c r="A322" s="147"/>
      <c r="B322" s="111">
        <f t="shared" ca="1" si="156"/>
        <v>0.4000103791586298</v>
      </c>
      <c r="C322" s="263">
        <f t="shared" ca="1" si="158"/>
        <v>-9999.5999896208414</v>
      </c>
      <c r="D322" s="267">
        <v>6.3989080542172685</v>
      </c>
      <c r="E322" s="149">
        <v>5.2363284024788044</v>
      </c>
      <c r="F322" s="111">
        <v>0.15679800805394473</v>
      </c>
      <c r="G322" s="268">
        <v>0.10059366785104967</v>
      </c>
      <c r="H322" s="149">
        <v>1.0023828656206053</v>
      </c>
      <c r="I322" s="111">
        <v>0.1200000000040001</v>
      </c>
      <c r="J322" s="149">
        <v>85.999594134301759</v>
      </c>
      <c r="K322" s="149">
        <v>120.28594387399662</v>
      </c>
      <c r="L322" s="149">
        <v>9.1540471104942167</v>
      </c>
      <c r="M322" s="149">
        <v>8.4000000000039972</v>
      </c>
      <c r="N322" s="149">
        <v>1.0033360365993875</v>
      </c>
      <c r="O322" s="60">
        <v>0.12953240094578611</v>
      </c>
      <c r="P322" s="141">
        <v>2.800736689446804E-2</v>
      </c>
      <c r="Q322" s="60">
        <v>34.286349739698856</v>
      </c>
      <c r="R322" s="60">
        <v>2.2812377424832428</v>
      </c>
      <c r="S322" s="60" t="str">
        <v/>
      </c>
      <c r="T322" s="60">
        <v>-1.9952938684826576</v>
      </c>
      <c r="U322" s="180">
        <v>0.28594387399658538</v>
      </c>
      <c r="V322" s="262">
        <f t="shared" si="157"/>
        <v>0</v>
      </c>
      <c r="W322" s="3">
        <f>MAX(R318:R329,T318:U329)*1.002</f>
        <v>5.4924355701722414</v>
      </c>
      <c r="X322" s="266">
        <f>X321-W323</f>
        <v>5.4887812550889592</v>
      </c>
    </row>
    <row r="323" spans="1:24" hidden="1" x14ac:dyDescent="0.25">
      <c r="A323" s="147"/>
      <c r="B323" s="111">
        <f t="shared" ca="1" si="156"/>
        <v>0.5000103791589936</v>
      </c>
      <c r="C323" s="263">
        <f t="shared" ca="1" si="158"/>
        <v>-9999.499989620841</v>
      </c>
      <c r="D323" s="267">
        <v>6.0959375718208548</v>
      </c>
      <c r="E323" s="149">
        <v>5.2650434855040888</v>
      </c>
      <c r="F323" s="111">
        <v>0.16598262355923105</v>
      </c>
      <c r="G323" s="268">
        <v>9.9085848595031001E-2</v>
      </c>
      <c r="H323" s="149">
        <v>1.0078797529433967</v>
      </c>
      <c r="I323" s="111">
        <v>0.12000000000500009</v>
      </c>
      <c r="J323" s="149">
        <v>80.945016801296532</v>
      </c>
      <c r="K323" s="149">
        <v>120.94557035261261</v>
      </c>
      <c r="L323" s="149">
        <v>9.2785456820095646</v>
      </c>
      <c r="M323" s="149">
        <v>8.400000000004999</v>
      </c>
      <c r="N323" s="149">
        <v>1.0118197111978033</v>
      </c>
      <c r="O323" s="60">
        <v>0.13419618533285158</v>
      </c>
      <c r="P323" s="141">
        <v>2.8036661900753795E-2</v>
      </c>
      <c r="Q323" s="60">
        <v>40.000553551321069</v>
      </c>
      <c r="R323" s="60">
        <v>2.9026096124379586</v>
      </c>
      <c r="S323" s="60" t="str">
        <v/>
      </c>
      <c r="T323" s="60">
        <v>-1.9570392598203994</v>
      </c>
      <c r="U323" s="180">
        <v>0.94557035261255939</v>
      </c>
      <c r="V323" s="262">
        <f t="shared" si="157"/>
        <v>0</v>
      </c>
      <c r="W323" s="3">
        <f>(W321-W322)/ROWS(R318:R329-1)</f>
        <v>-4.5678938541023523E-4</v>
      </c>
      <c r="X323" s="266">
        <f>X322-W323</f>
        <v>5.4892380444743694</v>
      </c>
    </row>
    <row r="324" spans="1:24" hidden="1" x14ac:dyDescent="0.25">
      <c r="A324" s="147"/>
      <c r="B324" s="111">
        <f t="shared" ca="1" si="156"/>
        <v>0.6000103791593574</v>
      </c>
      <c r="C324" s="263">
        <f t="shared" ca="1" si="158"/>
        <v>-9999.3999896208406</v>
      </c>
      <c r="D324" s="267">
        <v>5.8264066261352712</v>
      </c>
      <c r="E324" s="149">
        <v>5.2905276840531004</v>
      </c>
      <c r="F324" s="111">
        <v>0.17513593687993512</v>
      </c>
      <c r="G324" s="268">
        <v>9.7780761176277944E-2</v>
      </c>
      <c r="H324" s="149">
        <v>1.0127581566664448</v>
      </c>
      <c r="I324" s="111">
        <v>0.1200000000060001</v>
      </c>
      <c r="J324" s="149">
        <v>76.530492279320526</v>
      </c>
      <c r="K324" s="149">
        <v>121.53097879925936</v>
      </c>
      <c r="L324" s="149">
        <v>9.385134384422777</v>
      </c>
      <c r="M324" s="149">
        <v>8.4000000000059991</v>
      </c>
      <c r="N324" s="149">
        <v>1.0204131830816527</v>
      </c>
      <c r="O324" s="60">
        <v>0.13874863933821832</v>
      </c>
      <c r="P324" s="141">
        <v>2.8108361479374875E-2</v>
      </c>
      <c r="Q324" s="60">
        <v>45.000486519944829</v>
      </c>
      <c r="R324" s="60">
        <v>3.4531574689824054</v>
      </c>
      <c r="S324" s="60" t="str">
        <v/>
      </c>
      <c r="T324" s="60">
        <v>-1.9221786697170233</v>
      </c>
      <c r="U324" s="180">
        <v>1.530978799259382</v>
      </c>
      <c r="V324" s="262">
        <f t="shared" si="157"/>
        <v>0</v>
      </c>
      <c r="X324" s="266">
        <f>X323-W323</f>
        <v>5.4896948338597795</v>
      </c>
    </row>
    <row r="325" spans="1:24" hidden="1" x14ac:dyDescent="0.25">
      <c r="A325" s="147"/>
      <c r="B325" s="111">
        <f t="shared" ca="1" si="156"/>
        <v>0.7000103791597212</v>
      </c>
      <c r="C325" s="263">
        <f t="shared" ca="1" si="158"/>
        <v>-9999.2999896208403</v>
      </c>
      <c r="D325" s="267">
        <v>5.5858778760588867</v>
      </c>
      <c r="E325" s="149">
        <v>5.3133168235811317</v>
      </c>
      <c r="F325" s="111">
        <v>0.18423340144835959</v>
      </c>
      <c r="G325" s="268">
        <v>9.6640371705298059E-2</v>
      </c>
      <c r="H325" s="149">
        <v>1.017120649091191</v>
      </c>
      <c r="I325" s="111">
        <v>0.1200000000070001</v>
      </c>
      <c r="J325" s="149">
        <v>72.642282218289026</v>
      </c>
      <c r="K325" s="149">
        <v>122.05447789010991</v>
      </c>
      <c r="L325" s="149">
        <v>9.4752410752556067</v>
      </c>
      <c r="M325" s="149">
        <v>8.4000000000069992</v>
      </c>
      <c r="N325" s="149">
        <v>1.0291052811480761</v>
      </c>
      <c r="O325" s="60">
        <v>0.14316760274211068</v>
      </c>
      <c r="P325" s="141">
        <v>2.823935851699249E-2</v>
      </c>
      <c r="Q325" s="60">
        <v>49.412195671827874</v>
      </c>
      <c r="R325" s="60">
        <v>3.9447264270656315</v>
      </c>
      <c r="S325" s="60" t="str">
        <v/>
      </c>
      <c r="T325" s="60">
        <v>-1.8902485369487749</v>
      </c>
      <c r="U325" s="180">
        <v>2.0544778901098564</v>
      </c>
      <c r="V325" s="262">
        <f t="shared" si="157"/>
        <v>0</v>
      </c>
      <c r="X325" s="266">
        <f>X324-W323</f>
        <v>5.4901516232451897</v>
      </c>
    </row>
    <row r="326" spans="1:24" hidden="1" x14ac:dyDescent="0.25">
      <c r="A326" s="147"/>
      <c r="B326" s="111">
        <f t="shared" ca="1" si="156"/>
        <v>0.80001037916008499</v>
      </c>
      <c r="C326" s="263">
        <f t="shared" ca="1" si="158"/>
        <v>-9999.1999896208399</v>
      </c>
      <c r="D326" s="267">
        <v>5.3707917184396488</v>
      </c>
      <c r="E326" s="149">
        <v>5.3338322124350004</v>
      </c>
      <c r="F326" s="111">
        <v>0.19324644449285078</v>
      </c>
      <c r="G326" s="268">
        <v>9.5635568469120566E-2</v>
      </c>
      <c r="H326" s="149">
        <v>1.0210478806725971</v>
      </c>
      <c r="I326" s="111">
        <v>0.1200000000080001</v>
      </c>
      <c r="J326" s="149">
        <v>69.192027935306413</v>
      </c>
      <c r="K326" s="149">
        <v>122.52574567975965</v>
      </c>
      <c r="L326" s="149">
        <v>9.5497079001385679</v>
      </c>
      <c r="M326" s="149">
        <v>8.4000000000079975</v>
      </c>
      <c r="N326" s="149">
        <v>1.0378864036635975</v>
      </c>
      <c r="O326" s="60">
        <v>0.14742798638892329</v>
      </c>
      <c r="P326" s="141">
        <v>2.8443132256170827E-2</v>
      </c>
      <c r="Q326" s="60">
        <v>53.333717744461239</v>
      </c>
      <c r="R326" s="60">
        <v>4.3866153488370969</v>
      </c>
      <c r="S326" s="60" t="str">
        <v/>
      </c>
      <c r="T326" s="60">
        <v>-1.8608696690694668</v>
      </c>
      <c r="U326" s="180">
        <v>2.5257456797596305</v>
      </c>
      <c r="V326" s="262">
        <f t="shared" si="157"/>
        <v>0</v>
      </c>
      <c r="X326" s="266">
        <f>X325-W323</f>
        <v>5.4906084126305998</v>
      </c>
    </row>
    <row r="327" spans="1:24" hidden="1" x14ac:dyDescent="0.25">
      <c r="A327" s="147"/>
      <c r="B327" s="111">
        <f t="shared" ca="1" si="156"/>
        <v>0.90001037916044879</v>
      </c>
      <c r="C327" s="263">
        <f t="shared" ca="1" si="158"/>
        <v>-9999.0999896208396</v>
      </c>
      <c r="D327" s="267">
        <v>5.1783035845596013</v>
      </c>
      <c r="E327" s="149">
        <v>5.3524100039993403</v>
      </c>
      <c r="F327" s="111">
        <v>0.20214114908053196</v>
      </c>
      <c r="G327" s="268">
        <v>9.4743695365755026E-2</v>
      </c>
      <c r="H327" s="149">
        <v>1.0246042007728651</v>
      </c>
      <c r="I327" s="111">
        <v>0.1200000000090001</v>
      </c>
      <c r="J327" s="149">
        <v>66.110053816755865</v>
      </c>
      <c r="K327" s="149">
        <v>122.95250409167279</v>
      </c>
      <c r="L327" s="149">
        <v>9.6088621877255527</v>
      </c>
      <c r="M327" s="149">
        <v>8.4000000000089994</v>
      </c>
      <c r="N327" s="149">
        <v>1.046748236831291</v>
      </c>
      <c r="O327" s="60">
        <v>0.15150062187726276</v>
      </c>
      <c r="P327" s="141">
        <v>2.8733109122524917E-2</v>
      </c>
      <c r="Q327" s="60">
        <v>56.842450274925923</v>
      </c>
      <c r="R327" s="60">
        <v>4.7862324836153896</v>
      </c>
      <c r="S327" s="60" t="str">
        <v/>
      </c>
      <c r="T327" s="60">
        <v>-1.8337283919336136</v>
      </c>
      <c r="U327" s="180">
        <v>2.9525040916727758</v>
      </c>
      <c r="V327" s="262">
        <f t="shared" si="157"/>
        <v>0</v>
      </c>
      <c r="X327" s="266">
        <f>X326-W323</f>
        <v>5.49106520201601</v>
      </c>
    </row>
    <row r="328" spans="1:24" hidden="1" x14ac:dyDescent="0.25">
      <c r="A328" s="147"/>
      <c r="B328" s="111">
        <f t="shared" ca="1" si="156"/>
        <v>1.0000103791608126</v>
      </c>
      <c r="C328" s="263">
        <f t="shared" ca="1" si="158"/>
        <v>-9998.9999896208392</v>
      </c>
      <c r="D328" s="267">
        <v>5.0062761490697447</v>
      </c>
      <c r="E328" s="149">
        <v>5.3693219092784821</v>
      </c>
      <c r="F328" s="111">
        <v>0.21087201401860453</v>
      </c>
      <c r="G328" s="268">
        <v>9.3946859852676895E-2</v>
      </c>
      <c r="H328" s="149">
        <v>1.0278416226413951</v>
      </c>
      <c r="I328" s="111">
        <v>0.12000000001000009</v>
      </c>
      <c r="J328" s="149">
        <v>63.34068334256893</v>
      </c>
      <c r="K328" s="149">
        <v>123.34099471577741</v>
      </c>
      <c r="L328" s="149">
        <v>9.6522707492911159</v>
      </c>
      <c r="M328" s="149">
        <v>8.4000000000099995</v>
      </c>
      <c r="N328" s="149">
        <v>1.0556835342454689</v>
      </c>
      <c r="O328" s="60">
        <v>0.15534651357417956</v>
      </c>
      <c r="P328" s="141">
        <v>2.9128929166853133E-2</v>
      </c>
      <c r="Q328" s="60">
        <v>60.00031137321848</v>
      </c>
      <c r="R328" s="60">
        <v>5.1495573286105181</v>
      </c>
      <c r="S328" s="60" t="str">
        <v/>
      </c>
      <c r="T328" s="60">
        <v>-1.8085626128231036</v>
      </c>
      <c r="U328" s="180">
        <v>3.3409947157774145</v>
      </c>
      <c r="V328" s="262">
        <f t="shared" si="157"/>
        <v>0</v>
      </c>
      <c r="X328" s="266">
        <f>X327-W323</f>
        <v>5.4915219914014202</v>
      </c>
    </row>
    <row r="329" spans="1:24" ht="13" hidden="1" thickBot="1" x14ac:dyDescent="0.3">
      <c r="A329" s="147"/>
      <c r="B329" s="111">
        <f t="shared" ca="1" si="156"/>
        <v>1.1000103791611764</v>
      </c>
      <c r="C329" s="269">
        <f t="shared" ca="1" si="158"/>
        <v>-9998.8999896208388</v>
      </c>
      <c r="D329" s="270">
        <v>4.8535259791742407</v>
      </c>
      <c r="E329" s="271">
        <v>5.3847901051570624</v>
      </c>
      <c r="F329" s="272">
        <v>0.21936339613692818</v>
      </c>
      <c r="G329" s="273">
        <v>9.3230745978512275E-2</v>
      </c>
      <c r="H329" s="271">
        <v>1.0308026772818175</v>
      </c>
      <c r="I329" s="272">
        <v>0.1200000000110001</v>
      </c>
      <c r="J329" s="271">
        <v>60.838895990607654</v>
      </c>
      <c r="K329" s="271">
        <v>123.6963212725091</v>
      </c>
      <c r="L329" s="271">
        <v>9.6778605176477743</v>
      </c>
      <c r="M329" s="271">
        <v>8.4000000000109996</v>
      </c>
      <c r="N329" s="271">
        <v>1.0646859419856689</v>
      </c>
      <c r="O329" s="192">
        <v>0.15889981898056083</v>
      </c>
      <c r="P329" s="274">
        <v>2.9670492209720428E-2</v>
      </c>
      <c r="Q329" s="192">
        <v>62.857425281912434</v>
      </c>
      <c r="R329" s="192">
        <v>5.4814726249223966</v>
      </c>
      <c r="S329" s="192" t="str">
        <v/>
      </c>
      <c r="T329" s="192">
        <v>-1.7851513524023437</v>
      </c>
      <c r="U329" s="193">
        <v>3.6963212725090528</v>
      </c>
      <c r="V329" s="262">
        <f t="shared" si="157"/>
        <v>0</v>
      </c>
      <c r="X329" s="266">
        <f>X328-W323</f>
        <v>5.4919787807868303</v>
      </c>
    </row>
    <row r="330" spans="1:24" hidden="1" x14ac:dyDescent="0.25">
      <c r="A330" s="147"/>
      <c r="B330" s="60"/>
      <c r="C330" s="275"/>
      <c r="D330" s="60"/>
      <c r="E330" s="60"/>
      <c r="F330" s="60"/>
      <c r="G330" s="60"/>
      <c r="H330" s="60"/>
      <c r="I330" s="60"/>
      <c r="J330" s="60"/>
      <c r="K330" s="150"/>
      <c r="L330" s="150"/>
      <c r="M330" s="170"/>
    </row>
    <row r="331" spans="1:24" ht="13" hidden="1" thickBot="1" x14ac:dyDescent="0.3">
      <c r="S331" s="60"/>
      <c r="T331" s="60"/>
      <c r="U331" s="60"/>
    </row>
    <row r="332" spans="1:24" ht="13.5" hidden="1" thickBot="1" x14ac:dyDescent="0.35">
      <c r="B332" s="451" t="s">
        <v>274</v>
      </c>
      <c r="C332" s="452"/>
      <c r="D332" s="452"/>
      <c r="E332" s="452"/>
      <c r="F332" s="452"/>
      <c r="G332" s="452"/>
      <c r="H332" s="452"/>
      <c r="I332" s="452"/>
      <c r="J332" s="452"/>
      <c r="K332" s="452"/>
      <c r="L332" s="452"/>
      <c r="M332" s="453"/>
      <c r="S332" s="60"/>
      <c r="T332" s="60"/>
      <c r="U332" s="60"/>
    </row>
    <row r="333" spans="1:24" hidden="1" x14ac:dyDescent="0.25">
      <c r="B333" s="114"/>
      <c r="C333" s="246"/>
      <c r="D333" s="276">
        <f ca="1">OFFSET(INDIRECT(OFFSET(G333,M335,0)),0,Sensitivities!J5-base_year+1)</f>
        <v>6.4026253360346388</v>
      </c>
      <c r="E333" s="246" t="str">
        <f ca="1">B3</f>
        <v/>
      </c>
      <c r="F333" s="246" t="s">
        <v>122</v>
      </c>
      <c r="G333" s="114" t="s">
        <v>123</v>
      </c>
      <c r="H333" s="246"/>
      <c r="I333" s="246"/>
      <c r="J333" s="246"/>
      <c r="K333" s="247"/>
      <c r="L333" s="60"/>
      <c r="M333" s="180"/>
      <c r="O333" s="127"/>
      <c r="S333" s="60"/>
      <c r="T333" s="60"/>
      <c r="U333" s="60"/>
    </row>
    <row r="334" spans="1:24" ht="13" hidden="1" thickBot="1" x14ac:dyDescent="0.3">
      <c r="B334" s="117"/>
      <c r="C334" s="60">
        <v>0</v>
      </c>
      <c r="D334" s="60">
        <f t="dataTable" ref="D334:E353" dt2D="0" dtr="0" r1="C172" ca="1"/>
        <v>6.4026253360346388</v>
      </c>
      <c r="E334" s="60" t="str">
        <v/>
      </c>
      <c r="F334" s="157">
        <f t="shared" ref="F334:F353" si="159">(D334-$D$334)</f>
        <v>0</v>
      </c>
      <c r="G334" s="277" t="s">
        <v>53</v>
      </c>
      <c r="H334" s="60"/>
      <c r="I334" s="60" t="str">
        <f t="shared" ref="I334:I378" ca="1" si="160">INDIRECT(G334)</f>
        <v>Assets</v>
      </c>
      <c r="J334" s="60"/>
      <c r="K334" s="180"/>
      <c r="L334" s="240" t="s">
        <v>359</v>
      </c>
      <c r="M334" s="180"/>
      <c r="N334" s="88"/>
      <c r="O334" s="127"/>
      <c r="S334" s="60"/>
      <c r="T334" s="60"/>
      <c r="U334" s="60"/>
    </row>
    <row r="335" spans="1:24" ht="13" hidden="1" thickBot="1" x14ac:dyDescent="0.3">
      <c r="B335" s="117" t="str">
        <f t="shared" ref="B335:B341" si="161">PROPER(initial) &amp; " " &amp; LOWER(B6)</f>
        <v>Initial return on capital</v>
      </c>
      <c r="C335" s="60">
        <f>C334+1</f>
        <v>1</v>
      </c>
      <c r="D335" s="60">
        <v>6.1012340673230865</v>
      </c>
      <c r="E335" s="60" t="str">
        <v/>
      </c>
      <c r="F335" s="157">
        <f t="shared" si="159"/>
        <v>-0.30139126871155231</v>
      </c>
      <c r="G335" s="278" t="s">
        <v>48</v>
      </c>
      <c r="H335" s="60"/>
      <c r="I335" s="60" t="str">
        <f t="shared" ca="1" si="160"/>
        <v>Debt / equity ratio</v>
      </c>
      <c r="J335" s="60"/>
      <c r="K335" s="180"/>
      <c r="L335" s="240" t="s">
        <v>360</v>
      </c>
      <c r="M335" s="279">
        <f ca="1">MATCH(Sensitivities!F5,sens_chart_choices,0)</f>
        <v>28</v>
      </c>
      <c r="N335" s="88" t="s">
        <v>337</v>
      </c>
      <c r="O335" s="127"/>
      <c r="S335" s="60"/>
      <c r="T335" s="60"/>
      <c r="U335" s="60"/>
    </row>
    <row r="336" spans="1:24" hidden="1" x14ac:dyDescent="0.25">
      <c r="B336" s="117" t="str">
        <f t="shared" si="161"/>
        <v>Initial debt / equity ratio</v>
      </c>
      <c r="C336" s="60">
        <f t="shared" ref="C336:C350" si="162">C335+1</f>
        <v>2</v>
      </c>
      <c r="D336" s="60">
        <v>6.3766166402532889</v>
      </c>
      <c r="E336" s="60" t="str">
        <v/>
      </c>
      <c r="F336" s="157">
        <f t="shared" si="159"/>
        <v>-2.60086957813499E-2</v>
      </c>
      <c r="G336" s="277" t="s">
        <v>61</v>
      </c>
      <c r="H336" s="60"/>
      <c r="I336" s="60" t="str">
        <f t="shared" ca="1" si="160"/>
        <v>Borrowing</v>
      </c>
      <c r="J336" s="60"/>
      <c r="K336" s="180"/>
      <c r="L336" s="240" t="s">
        <v>359</v>
      </c>
      <c r="M336" s="180">
        <f ca="1">MATCH(Attribution!H5,sens_chart_choices,0)</f>
        <v>25</v>
      </c>
      <c r="N336" s="88" t="s">
        <v>338</v>
      </c>
      <c r="O336" s="127"/>
      <c r="S336" s="60"/>
      <c r="T336" s="60"/>
      <c r="U336" s="60"/>
    </row>
    <row r="337" spans="2:21" hidden="1" x14ac:dyDescent="0.25">
      <c r="B337" s="117" t="str">
        <f t="shared" si="161"/>
        <v>Initial depreciation rate</v>
      </c>
      <c r="C337" s="60">
        <f t="shared" si="162"/>
        <v>3</v>
      </c>
      <c r="D337" s="60">
        <v>6.6372301182262152</v>
      </c>
      <c r="E337" s="60" t="str">
        <v/>
      </c>
      <c r="F337" s="157">
        <f t="shared" si="159"/>
        <v>0.23460478219157643</v>
      </c>
      <c r="G337" s="277" t="s">
        <v>66</v>
      </c>
      <c r="H337" s="60"/>
      <c r="I337" s="60" t="str">
        <f t="shared" ca="1" si="160"/>
        <v>Coverage ratio</v>
      </c>
      <c r="J337" s="60"/>
      <c r="K337" s="180"/>
      <c r="L337" s="240" t="s">
        <v>359</v>
      </c>
      <c r="M337" s="180"/>
      <c r="N337" s="88"/>
      <c r="O337" s="127"/>
      <c r="S337" s="60"/>
      <c r="T337" s="60"/>
      <c r="U337" s="60"/>
    </row>
    <row r="338" spans="2:21" hidden="1" x14ac:dyDescent="0.25">
      <c r="B338" s="117" t="str">
        <f t="shared" si="161"/>
        <v>Initial tax rate</v>
      </c>
      <c r="C338" s="60">
        <f t="shared" si="162"/>
        <v>4</v>
      </c>
      <c r="D338" s="60">
        <v>6.4559808698867425</v>
      </c>
      <c r="E338" s="60" t="str">
        <v/>
      </c>
      <c r="F338" s="280">
        <f t="shared" si="159"/>
        <v>5.3355533852103676E-2</v>
      </c>
      <c r="G338" s="277" t="s">
        <v>54</v>
      </c>
      <c r="H338" s="60"/>
      <c r="I338" s="60" t="str">
        <f t="shared" ca="1" si="160"/>
        <v>Debt</v>
      </c>
      <c r="J338" s="60"/>
      <c r="K338" s="180"/>
      <c r="L338" s="240" t="s">
        <v>359</v>
      </c>
      <c r="M338" s="180"/>
      <c r="N338" s="88"/>
      <c r="O338" s="127"/>
      <c r="S338" s="60"/>
      <c r="T338" s="60"/>
      <c r="U338" s="60"/>
    </row>
    <row r="339" spans="2:21" hidden="1" x14ac:dyDescent="0.25">
      <c r="B339" s="117" t="str">
        <f t="shared" si="161"/>
        <v>Initial risk free rate</v>
      </c>
      <c r="C339" s="60">
        <f t="shared" si="162"/>
        <v>5</v>
      </c>
      <c r="D339" s="60">
        <v>6.4070191456107457</v>
      </c>
      <c r="E339" s="60" t="str">
        <v/>
      </c>
      <c r="F339" s="157">
        <f t="shared" si="159"/>
        <v>4.3938095761069107E-3</v>
      </c>
      <c r="G339" s="277" t="s">
        <v>60</v>
      </c>
      <c r="H339" s="60"/>
      <c r="I339" s="60" t="str">
        <f t="shared" ca="1" si="160"/>
        <v>Dividends</v>
      </c>
      <c r="J339" s="60"/>
      <c r="K339" s="180"/>
      <c r="L339" s="240" t="s">
        <v>359</v>
      </c>
      <c r="M339" s="180"/>
      <c r="N339" s="88"/>
      <c r="O339" s="127"/>
      <c r="S339" s="60"/>
      <c r="T339" s="60"/>
      <c r="U339" s="60"/>
    </row>
    <row r="340" spans="2:21" hidden="1" x14ac:dyDescent="0.25">
      <c r="B340" s="117" t="str">
        <f t="shared" si="161"/>
        <v>Initial equity margin</v>
      </c>
      <c r="C340" s="60">
        <f t="shared" si="162"/>
        <v>6</v>
      </c>
      <c r="D340" s="60">
        <v>6.330708308050677</v>
      </c>
      <c r="E340" s="60" t="str">
        <v/>
      </c>
      <c r="F340" s="157">
        <f t="shared" si="159"/>
        <v>-7.1917027983961823E-2</v>
      </c>
      <c r="G340" s="277" t="s">
        <v>56</v>
      </c>
      <c r="H340" s="60"/>
      <c r="I340" s="60" t="str">
        <f t="shared" ca="1" si="160"/>
        <v>EBIT</v>
      </c>
      <c r="J340" s="60"/>
      <c r="K340" s="180"/>
      <c r="L340" s="240" t="s">
        <v>359</v>
      </c>
      <c r="M340" s="180"/>
      <c r="N340" s="88"/>
      <c r="O340" s="127"/>
      <c r="S340" s="60"/>
      <c r="T340" s="60"/>
      <c r="U340" s="60"/>
    </row>
    <row r="341" spans="2:21" hidden="1" x14ac:dyDescent="0.25">
      <c r="B341" s="117" t="str">
        <f t="shared" si="161"/>
        <v>Initial growth rate</v>
      </c>
      <c r="C341" s="60">
        <f t="shared" si="162"/>
        <v>7</v>
      </c>
      <c r="D341" s="60">
        <v>6.3965902864888724</v>
      </c>
      <c r="E341" s="60" t="str">
        <v/>
      </c>
      <c r="F341" s="157">
        <f t="shared" si="159"/>
        <v>-6.0350495457663911E-3</v>
      </c>
      <c r="G341" s="117" t="s">
        <v>70</v>
      </c>
      <c r="H341" s="60"/>
      <c r="I341" s="60" t="str">
        <f t="shared" ca="1" si="160"/>
        <v>EBITDA</v>
      </c>
      <c r="J341" s="60"/>
      <c r="K341" s="180"/>
      <c r="L341" s="240" t="s">
        <v>359</v>
      </c>
      <c r="M341" s="281"/>
      <c r="N341" s="282"/>
      <c r="O341" s="283"/>
      <c r="S341" s="60"/>
      <c r="T341" s="60"/>
      <c r="U341" s="60"/>
    </row>
    <row r="342" spans="2:21" hidden="1" x14ac:dyDescent="0.25">
      <c r="B342" s="117" t="str">
        <f t="shared" ref="B342:B348" si="163">PROPER(final) &amp; " " &amp;LOWER(B6)</f>
        <v>Terminal return on capital</v>
      </c>
      <c r="C342" s="60">
        <f t="shared" si="162"/>
        <v>8</v>
      </c>
      <c r="D342" s="60">
        <v>7.1719188605433226</v>
      </c>
      <c r="E342" s="60" t="str">
        <v/>
      </c>
      <c r="F342" s="157">
        <f t="shared" si="159"/>
        <v>0.76929352450868382</v>
      </c>
      <c r="G342" s="277" t="s">
        <v>71</v>
      </c>
      <c r="H342" s="60"/>
      <c r="I342" s="60" t="str">
        <f t="shared" ca="1" si="160"/>
        <v>Enterprise value / EBITDA</v>
      </c>
      <c r="J342" s="60"/>
      <c r="K342" s="180"/>
      <c r="L342" s="240" t="s">
        <v>359</v>
      </c>
      <c r="M342" s="284"/>
      <c r="N342" s="285"/>
      <c r="O342" s="283"/>
      <c r="S342" s="60"/>
      <c r="T342" s="60"/>
      <c r="U342" s="60"/>
    </row>
    <row r="343" spans="2:21" hidden="1" x14ac:dyDescent="0.25">
      <c r="B343" s="117" t="str">
        <f t="shared" si="163"/>
        <v>Terminal debt / equity ratio</v>
      </c>
      <c r="C343" s="60">
        <f t="shared" si="162"/>
        <v>9</v>
      </c>
      <c r="D343" s="60">
        <v>6.4151652364592309</v>
      </c>
      <c r="E343" s="60" t="str">
        <v/>
      </c>
      <c r="F343" s="157">
        <f t="shared" si="159"/>
        <v>1.2539900424592076E-2</v>
      </c>
      <c r="G343" s="277" t="s">
        <v>243</v>
      </c>
      <c r="H343" s="60"/>
      <c r="I343" s="60" t="str">
        <f t="shared" ca="1" si="160"/>
        <v>Economic value added (EVA)</v>
      </c>
      <c r="J343" s="60"/>
      <c r="K343" s="180"/>
      <c r="L343" s="240" t="s">
        <v>359</v>
      </c>
      <c r="M343" s="284"/>
      <c r="N343" s="285"/>
      <c r="O343" s="283"/>
      <c r="S343" s="60"/>
      <c r="T343" s="60"/>
      <c r="U343" s="60"/>
    </row>
    <row r="344" spans="2:21" hidden="1" x14ac:dyDescent="0.25">
      <c r="B344" s="117" t="str">
        <f t="shared" si="163"/>
        <v>Terminal depreciation rate</v>
      </c>
      <c r="C344" s="60">
        <f t="shared" si="162"/>
        <v>10</v>
      </c>
      <c r="D344" s="60">
        <v>5.8345796828749403</v>
      </c>
      <c r="E344" s="60" t="str">
        <v/>
      </c>
      <c r="F344" s="157">
        <f t="shared" si="159"/>
        <v>-0.56804565315969846</v>
      </c>
      <c r="G344" s="199" t="s">
        <v>244</v>
      </c>
      <c r="H344" s="60"/>
      <c r="I344" s="60" t="str">
        <f t="shared" ca="1" si="160"/>
        <v>EVA due to assets in place</v>
      </c>
      <c r="J344" s="60"/>
      <c r="K344" s="180"/>
      <c r="L344" s="240" t="s">
        <v>359</v>
      </c>
      <c r="M344" s="284"/>
      <c r="N344" s="285"/>
      <c r="O344" s="283"/>
      <c r="S344" s="60"/>
      <c r="T344" s="60"/>
      <c r="U344" s="60"/>
    </row>
    <row r="345" spans="2:21" hidden="1" x14ac:dyDescent="0.25">
      <c r="B345" s="117" t="str">
        <f t="shared" si="163"/>
        <v>Terminal tax rate</v>
      </c>
      <c r="C345" s="60">
        <f t="shared" si="162"/>
        <v>11</v>
      </c>
      <c r="D345" s="60">
        <v>6.2977363428938604</v>
      </c>
      <c r="E345" s="60" t="str">
        <v/>
      </c>
      <c r="F345" s="157">
        <f t="shared" si="159"/>
        <v>-0.10488899314077837</v>
      </c>
      <c r="G345" s="199" t="s">
        <v>245</v>
      </c>
      <c r="H345" s="60"/>
      <c r="I345" s="60" t="str">
        <f t="shared" ca="1" si="160"/>
        <v>EVA due to growth assets</v>
      </c>
      <c r="J345" s="60"/>
      <c r="K345" s="180"/>
      <c r="L345" s="240" t="s">
        <v>359</v>
      </c>
      <c r="M345" s="284"/>
      <c r="N345" s="285"/>
      <c r="O345" s="283"/>
      <c r="S345" s="60"/>
      <c r="T345" s="60"/>
      <c r="U345" s="60"/>
    </row>
    <row r="346" spans="2:21" hidden="1" x14ac:dyDescent="0.25">
      <c r="B346" s="117" t="str">
        <f t="shared" si="163"/>
        <v>Terminal risk free rate</v>
      </c>
      <c r="C346" s="60">
        <f t="shared" si="162"/>
        <v>12</v>
      </c>
      <c r="D346" s="60">
        <v>5.6361454302015099</v>
      </c>
      <c r="E346" s="60" t="str">
        <v/>
      </c>
      <c r="F346" s="157">
        <f t="shared" si="159"/>
        <v>-0.76647990583312886</v>
      </c>
      <c r="G346" s="277" t="s">
        <v>55</v>
      </c>
      <c r="H346" s="60"/>
      <c r="I346" s="60" t="str">
        <f t="shared" ca="1" si="160"/>
        <v>Equity</v>
      </c>
      <c r="J346" s="60"/>
      <c r="K346" s="180"/>
      <c r="L346" s="240" t="s">
        <v>359</v>
      </c>
      <c r="M346" s="284"/>
      <c r="N346" s="285"/>
      <c r="O346" s="283"/>
      <c r="S346" s="60"/>
      <c r="T346" s="60"/>
      <c r="U346" s="60"/>
    </row>
    <row r="347" spans="2:21" hidden="1" x14ac:dyDescent="0.25">
      <c r="B347" s="117" t="str">
        <f t="shared" si="163"/>
        <v>Terminal equity margin</v>
      </c>
      <c r="C347" s="60">
        <f t="shared" si="162"/>
        <v>13</v>
      </c>
      <c r="D347" s="60">
        <v>5.602639692715532</v>
      </c>
      <c r="E347" s="60" t="str">
        <v/>
      </c>
      <c r="F347" s="157">
        <f t="shared" si="159"/>
        <v>-0.79998564331910682</v>
      </c>
      <c r="G347" s="117" t="s">
        <v>187</v>
      </c>
      <c r="H347" s="60"/>
      <c r="I347" s="60" t="str">
        <f t="shared" ca="1" si="160"/>
        <v>Equity margin</v>
      </c>
      <c r="J347" s="60"/>
      <c r="K347" s="180"/>
      <c r="L347" s="240" t="s">
        <v>360</v>
      </c>
      <c r="M347" s="284"/>
      <c r="N347" s="285"/>
      <c r="O347" s="283"/>
      <c r="S347" s="60"/>
      <c r="T347" s="60"/>
      <c r="U347" s="60"/>
    </row>
    <row r="348" spans="2:21" hidden="1" x14ac:dyDescent="0.25">
      <c r="B348" s="117" t="str">
        <f t="shared" si="163"/>
        <v>Terminal growth rate</v>
      </c>
      <c r="C348" s="60">
        <f t="shared" si="162"/>
        <v>14</v>
      </c>
      <c r="D348" s="60">
        <v>6.3157486687443267</v>
      </c>
      <c r="E348" s="60" t="str">
        <v/>
      </c>
      <c r="F348" s="157">
        <f t="shared" si="159"/>
        <v>-8.6876667290312071E-2</v>
      </c>
      <c r="G348" s="278" t="s">
        <v>72</v>
      </c>
      <c r="H348" s="60"/>
      <c r="I348" s="60" t="str">
        <f t="shared" ca="1" si="160"/>
        <v>Cost of capital [WACC]</v>
      </c>
      <c r="J348" s="60"/>
      <c r="K348" s="180"/>
      <c r="L348" s="240" t="s">
        <v>360</v>
      </c>
      <c r="M348" s="284"/>
      <c r="N348" s="285"/>
      <c r="O348" s="283"/>
      <c r="S348" s="60"/>
      <c r="T348" s="60"/>
      <c r="U348" s="60"/>
    </row>
    <row r="349" spans="2:21" hidden="1" x14ac:dyDescent="0.25">
      <c r="B349" s="117" t="str">
        <f ca="1">"Coverage ratio " &amp; C15 &amp; " interest margin"</f>
        <v>Coverage ratio 7.5 interest margin</v>
      </c>
      <c r="C349" s="60">
        <f t="shared" si="162"/>
        <v>15</v>
      </c>
      <c r="D349" s="60">
        <v>6.4028363857374329</v>
      </c>
      <c r="E349" s="60" t="str">
        <v/>
      </c>
      <c r="F349" s="157">
        <f t="shared" si="159"/>
        <v>2.1104970279406388E-4</v>
      </c>
      <c r="G349" s="277" t="s">
        <v>64</v>
      </c>
      <c r="H349" s="60"/>
      <c r="I349" s="60" t="str">
        <f t="shared" ca="1" si="160"/>
        <v>Free cash flow to debt</v>
      </c>
      <c r="J349" s="60"/>
      <c r="K349" s="180"/>
      <c r="L349" s="240" t="s">
        <v>359</v>
      </c>
      <c r="M349" s="284"/>
      <c r="N349" s="285"/>
      <c r="O349" s="283"/>
      <c r="S349" s="60"/>
      <c r="T349" s="60"/>
      <c r="U349" s="60"/>
    </row>
    <row r="350" spans="2:21" hidden="1" x14ac:dyDescent="0.25">
      <c r="B350" s="117" t="str">
        <f ca="1">"Coverage ratio " &amp; C16 &amp; " interest margin"</f>
        <v>Coverage ratio 6 interest margin</v>
      </c>
      <c r="C350" s="60">
        <f t="shared" si="162"/>
        <v>16</v>
      </c>
      <c r="D350" s="60">
        <v>6.4026253360346388</v>
      </c>
      <c r="E350" s="60" t="str">
        <v/>
      </c>
      <c r="F350" s="157">
        <f t="shared" si="159"/>
        <v>0</v>
      </c>
      <c r="G350" s="277" t="s">
        <v>63</v>
      </c>
      <c r="H350" s="60"/>
      <c r="I350" s="60" t="str">
        <f t="shared" ca="1" si="160"/>
        <v>Free cash flow to equity</v>
      </c>
      <c r="J350" s="60"/>
      <c r="K350" s="180"/>
      <c r="L350" s="240" t="s">
        <v>359</v>
      </c>
      <c r="M350" s="284"/>
      <c r="N350" s="285"/>
      <c r="O350" s="283"/>
      <c r="S350" s="60"/>
      <c r="T350" s="60"/>
      <c r="U350" s="60"/>
    </row>
    <row r="351" spans="2:21" hidden="1" x14ac:dyDescent="0.25">
      <c r="B351" s="117" t="str">
        <f ca="1">"Coverage ratio " &amp; C17 &amp; " interest margin"</f>
        <v>Coverage ratio 4.5 interest margin</v>
      </c>
      <c r="C351" s="60">
        <f>C350+1</f>
        <v>17</v>
      </c>
      <c r="D351" s="60">
        <v>6.4026253360346388</v>
      </c>
      <c r="E351" s="60" t="str">
        <v/>
      </c>
      <c r="F351" s="157">
        <f t="shared" si="159"/>
        <v>0</v>
      </c>
      <c r="G351" s="277" t="s">
        <v>65</v>
      </c>
      <c r="H351" s="60"/>
      <c r="I351" s="60" t="str">
        <f t="shared" ca="1" si="160"/>
        <v>Free cash flow to the firm</v>
      </c>
      <c r="J351" s="60"/>
      <c r="K351" s="180"/>
      <c r="L351" s="240" t="s">
        <v>359</v>
      </c>
      <c r="M351" s="284"/>
      <c r="N351" s="285"/>
      <c r="O351" s="283"/>
    </row>
    <row r="352" spans="2:21" hidden="1" x14ac:dyDescent="0.25">
      <c r="B352" s="117" t="str">
        <f ca="1">"Coverage ratio " &amp; C18 &amp; " interest margin"</f>
        <v>Coverage ratio 3 interest margin</v>
      </c>
      <c r="C352" s="60">
        <f>C351+1</f>
        <v>18</v>
      </c>
      <c r="D352" s="60">
        <v>6.4026253360346388</v>
      </c>
      <c r="E352" s="60" t="str">
        <v/>
      </c>
      <c r="F352" s="157">
        <f t="shared" si="159"/>
        <v>0</v>
      </c>
      <c r="G352" s="277" t="s">
        <v>51</v>
      </c>
      <c r="H352" s="60"/>
      <c r="I352" s="60" t="str">
        <f t="shared" ca="1" si="160"/>
        <v>Growth rate</v>
      </c>
      <c r="J352" s="60"/>
      <c r="K352" s="180"/>
      <c r="L352" s="240" t="s">
        <v>360</v>
      </c>
      <c r="M352" s="284"/>
      <c r="N352" s="285"/>
      <c r="O352" s="283"/>
    </row>
    <row r="353" spans="2:15" ht="13.5" hidden="1" thickBot="1" x14ac:dyDescent="0.35">
      <c r="B353" s="122" t="str">
        <f ca="1">"Coverage ratio " &amp; C19 &amp; " interest margin"</f>
        <v>Coverage ratio 1.5 interest margin</v>
      </c>
      <c r="C353" s="192">
        <f>C352+1</f>
        <v>19</v>
      </c>
      <c r="D353" s="192">
        <v>6.4026253360346388</v>
      </c>
      <c r="E353" s="192" t="str">
        <v/>
      </c>
      <c r="F353" s="286">
        <f t="shared" si="159"/>
        <v>0</v>
      </c>
      <c r="G353" s="287" t="s">
        <v>74</v>
      </c>
      <c r="H353" s="60"/>
      <c r="I353" s="60" t="str">
        <f t="shared" ca="1" si="160"/>
        <v>Cost of debt (post-tax)</v>
      </c>
      <c r="J353" s="60"/>
      <c r="K353" s="180"/>
      <c r="L353" s="240" t="s">
        <v>360</v>
      </c>
      <c r="M353" s="284"/>
      <c r="N353" s="285"/>
      <c r="O353" s="283"/>
    </row>
    <row r="354" spans="2:15" hidden="1" x14ac:dyDescent="0.25">
      <c r="B354" s="117"/>
      <c r="C354" s="60"/>
      <c r="D354" s="60"/>
      <c r="E354" s="157"/>
      <c r="F354" s="60"/>
      <c r="G354" s="277" t="s">
        <v>52</v>
      </c>
      <c r="H354" s="60"/>
      <c r="I354" s="60" t="str">
        <f t="shared" ca="1" si="160"/>
        <v>Cost of equity</v>
      </c>
      <c r="J354" s="60"/>
      <c r="K354" s="180"/>
      <c r="L354" s="240" t="s">
        <v>360</v>
      </c>
      <c r="M354" s="284"/>
      <c r="N354" s="285"/>
      <c r="O354" s="283"/>
    </row>
    <row r="355" spans="2:15" hidden="1" x14ac:dyDescent="0.25">
      <c r="B355" s="117"/>
      <c r="C355" s="60"/>
      <c r="D355" s="60"/>
      <c r="E355" s="157"/>
      <c r="F355" s="60"/>
      <c r="G355" s="278" t="s">
        <v>58</v>
      </c>
      <c r="H355" s="60"/>
      <c r="I355" s="60" t="str">
        <f t="shared" ca="1" si="160"/>
        <v>Tax rate</v>
      </c>
      <c r="J355" s="60"/>
      <c r="K355" s="180"/>
      <c r="L355" s="240" t="s">
        <v>360</v>
      </c>
      <c r="M355" s="284"/>
      <c r="N355" s="285"/>
      <c r="O355" s="283"/>
    </row>
    <row r="356" spans="2:15" hidden="1" x14ac:dyDescent="0.25">
      <c r="B356" s="117"/>
      <c r="C356" s="60"/>
      <c r="D356" s="60"/>
      <c r="E356" s="157"/>
      <c r="F356" s="60"/>
      <c r="G356" s="278" t="s">
        <v>98</v>
      </c>
      <c r="H356" s="60"/>
      <c r="I356" s="60" t="str">
        <f t="shared" ca="1" si="160"/>
        <v>Equity [market / book] ratio</v>
      </c>
      <c r="J356" s="60"/>
      <c r="K356" s="180"/>
      <c r="L356" s="240" t="s">
        <v>359</v>
      </c>
      <c r="M356" s="284"/>
      <c r="N356" s="285"/>
      <c r="O356" s="283"/>
    </row>
    <row r="357" spans="2:15" hidden="1" x14ac:dyDescent="0.25">
      <c r="B357" s="117"/>
      <c r="C357" s="60"/>
      <c r="D357" s="60"/>
      <c r="E357" s="157"/>
      <c r="F357" s="60"/>
      <c r="G357" s="278" t="s">
        <v>99</v>
      </c>
      <c r="H357" s="60"/>
      <c r="I357" s="60" t="str">
        <f t="shared" ca="1" si="160"/>
        <v>Firm [market / book] ratio</v>
      </c>
      <c r="J357" s="60"/>
      <c r="K357" s="180"/>
      <c r="L357" s="240" t="s">
        <v>359</v>
      </c>
      <c r="M357" s="284"/>
      <c r="N357" s="285"/>
      <c r="O357" s="283"/>
    </row>
    <row r="358" spans="2:15" hidden="1" x14ac:dyDescent="0.25">
      <c r="B358" s="117"/>
      <c r="C358" s="60"/>
      <c r="D358" s="60"/>
      <c r="E358" s="157"/>
      <c r="F358" s="60"/>
      <c r="G358" s="278" t="s">
        <v>67</v>
      </c>
      <c r="H358" s="60"/>
      <c r="I358" s="60" t="str">
        <f t="shared" ca="1" si="160"/>
        <v>Market value of equity</v>
      </c>
      <c r="J358" s="60"/>
      <c r="K358" s="180"/>
      <c r="L358" s="240" t="s">
        <v>359</v>
      </c>
      <c r="M358" s="284"/>
      <c r="N358" s="285"/>
      <c r="O358" s="283"/>
    </row>
    <row r="359" spans="2:15" hidden="1" x14ac:dyDescent="0.25">
      <c r="B359" s="117"/>
      <c r="C359" s="60"/>
      <c r="D359" s="60"/>
      <c r="E359" s="157"/>
      <c r="F359" s="60"/>
      <c r="G359" s="278" t="s">
        <v>69</v>
      </c>
      <c r="H359" s="60"/>
      <c r="I359" s="60" t="str">
        <f t="shared" ca="1" si="160"/>
        <v>Market value of firm</v>
      </c>
      <c r="J359" s="60"/>
      <c r="K359" s="180"/>
      <c r="L359" s="240" t="s">
        <v>359</v>
      </c>
      <c r="M359" s="284"/>
      <c r="N359" s="285"/>
      <c r="O359" s="283"/>
    </row>
    <row r="360" spans="2:15" hidden="1" x14ac:dyDescent="0.25">
      <c r="B360" s="117"/>
      <c r="C360" s="60"/>
      <c r="D360" s="60"/>
      <c r="E360" s="157"/>
      <c r="F360" s="60"/>
      <c r="G360" s="278" t="s">
        <v>59</v>
      </c>
      <c r="H360" s="60"/>
      <c r="I360" s="60" t="str">
        <f t="shared" ca="1" si="160"/>
        <v>Net profit</v>
      </c>
      <c r="J360" s="60"/>
      <c r="K360" s="180"/>
      <c r="L360" s="240" t="s">
        <v>359</v>
      </c>
      <c r="M360" s="284"/>
      <c r="N360" s="285"/>
      <c r="O360" s="283"/>
    </row>
    <row r="361" spans="2:15" hidden="1" x14ac:dyDescent="0.25">
      <c r="B361" s="117"/>
      <c r="C361" s="60"/>
      <c r="D361" s="60"/>
      <c r="E361" s="157"/>
      <c r="F361" s="60"/>
      <c r="G361" s="278" t="s">
        <v>68</v>
      </c>
      <c r="H361" s="60"/>
      <c r="I361" s="60" t="str">
        <f t="shared" ca="1" si="160"/>
        <v>P/E ratio</v>
      </c>
      <c r="J361" s="60"/>
      <c r="K361" s="180"/>
      <c r="L361" s="240" t="s">
        <v>359</v>
      </c>
      <c r="M361" s="284"/>
      <c r="N361" s="285"/>
      <c r="O361" s="283"/>
    </row>
    <row r="362" spans="2:15" hidden="1" x14ac:dyDescent="0.25">
      <c r="B362" s="117"/>
      <c r="C362" s="60"/>
      <c r="D362" s="60"/>
      <c r="E362" s="157"/>
      <c r="F362" s="60"/>
      <c r="G362" s="278" t="s">
        <v>47</v>
      </c>
      <c r="H362" s="60"/>
      <c r="I362" s="60" t="str">
        <f t="shared" ca="1" si="160"/>
        <v>Return on capital</v>
      </c>
      <c r="J362" s="60"/>
      <c r="K362" s="180"/>
      <c r="L362" s="240" t="s">
        <v>360</v>
      </c>
      <c r="M362" s="284"/>
      <c r="N362" s="285"/>
      <c r="O362" s="283"/>
    </row>
    <row r="363" spans="2:15" hidden="1" x14ac:dyDescent="0.25">
      <c r="B363" s="117"/>
      <c r="C363" s="60"/>
      <c r="D363" s="60"/>
      <c r="E363" s="157"/>
      <c r="F363" s="60"/>
      <c r="G363" s="278" t="s">
        <v>73</v>
      </c>
      <c r="H363" s="60"/>
      <c r="I363" s="60" t="str">
        <f t="shared" ca="1" si="160"/>
        <v>Return on equity</v>
      </c>
      <c r="J363" s="60"/>
      <c r="K363" s="180"/>
      <c r="L363" s="240" t="s">
        <v>360</v>
      </c>
      <c r="M363" s="284"/>
      <c r="N363" s="285"/>
      <c r="O363" s="283"/>
    </row>
    <row r="364" spans="2:15" hidden="1" x14ac:dyDescent="0.25">
      <c r="B364" s="117"/>
      <c r="C364" s="60"/>
      <c r="D364" s="60"/>
      <c r="E364" s="157"/>
      <c r="F364" s="60"/>
      <c r="G364" s="278" t="s">
        <v>50</v>
      </c>
      <c r="H364" s="60"/>
      <c r="I364" s="60" t="str">
        <f t="shared" ca="1" si="160"/>
        <v>Risk free rate</v>
      </c>
      <c r="J364" s="60"/>
      <c r="K364" s="180"/>
      <c r="L364" s="240" t="s">
        <v>360</v>
      </c>
      <c r="M364" s="284"/>
      <c r="N364" s="285"/>
      <c r="O364" s="283"/>
    </row>
    <row r="365" spans="2:15" hidden="1" x14ac:dyDescent="0.25">
      <c r="B365" s="117"/>
      <c r="C365" s="60"/>
      <c r="D365" s="60"/>
      <c r="E365" s="157"/>
      <c r="F365" s="60"/>
      <c r="G365" s="278" t="s">
        <v>116</v>
      </c>
      <c r="H365" s="60"/>
      <c r="I365" s="60" t="str">
        <f t="shared" ca="1" si="160"/>
        <v>Unleveraged cost of equity</v>
      </c>
      <c r="J365" s="60"/>
      <c r="K365" s="180"/>
      <c r="L365" s="240" t="s">
        <v>360</v>
      </c>
      <c r="M365" s="284"/>
      <c r="N365" s="285"/>
      <c r="O365" s="283"/>
    </row>
    <row r="366" spans="2:15" hidden="1" x14ac:dyDescent="0.25">
      <c r="B366" s="117"/>
      <c r="C366" s="60"/>
      <c r="D366" s="60"/>
      <c r="E366" s="60"/>
      <c r="F366" s="60"/>
      <c r="G366" s="278" t="s">
        <v>134</v>
      </c>
      <c r="H366" s="60"/>
      <c r="I366" s="60" t="str">
        <f t="shared" ca="1" si="160"/>
        <v>Growth CAPEX</v>
      </c>
      <c r="J366" s="60"/>
      <c r="K366" s="180"/>
      <c r="L366" s="240" t="s">
        <v>359</v>
      </c>
      <c r="M366" s="284"/>
      <c r="N366" s="285"/>
      <c r="O366" s="283"/>
    </row>
    <row r="367" spans="2:15" hidden="1" x14ac:dyDescent="0.25">
      <c r="B367" s="117"/>
      <c r="C367" s="60"/>
      <c r="D367" s="60"/>
      <c r="E367" s="60"/>
      <c r="F367" s="60"/>
      <c r="G367" s="277" t="s">
        <v>135</v>
      </c>
      <c r="H367" s="60"/>
      <c r="I367" s="60" t="str">
        <f t="shared" ca="1" si="160"/>
        <v>Replacement CAPEX</v>
      </c>
      <c r="J367" s="60"/>
      <c r="K367" s="180"/>
      <c r="L367" s="240" t="s">
        <v>359</v>
      </c>
      <c r="M367" s="284"/>
      <c r="N367" s="285"/>
      <c r="O367" s="283"/>
    </row>
    <row r="368" spans="2:15" hidden="1" x14ac:dyDescent="0.25">
      <c r="B368" s="117"/>
      <c r="C368" s="60"/>
      <c r="D368" s="60"/>
      <c r="E368" s="60"/>
      <c r="F368" s="60"/>
      <c r="G368" s="117" t="s">
        <v>62</v>
      </c>
      <c r="H368" s="60"/>
      <c r="I368" s="60" t="str">
        <f t="shared" ca="1" si="160"/>
        <v>Cash flow from investing</v>
      </c>
      <c r="J368" s="60"/>
      <c r="K368" s="180"/>
      <c r="L368" s="240" t="s">
        <v>359</v>
      </c>
      <c r="M368" s="284"/>
      <c r="N368" s="285"/>
      <c r="O368" s="283"/>
    </row>
    <row r="369" spans="1:25" hidden="1" x14ac:dyDescent="0.25">
      <c r="B369" s="117"/>
      <c r="C369" s="60"/>
      <c r="D369" s="60"/>
      <c r="E369" s="60"/>
      <c r="F369" s="60"/>
      <c r="G369" s="277" t="s">
        <v>57</v>
      </c>
      <c r="H369" s="60"/>
      <c r="I369" s="60" t="str">
        <f t="shared" ca="1" si="160"/>
        <v>(Interest)</v>
      </c>
      <c r="J369" s="60"/>
      <c r="K369" s="180"/>
      <c r="L369" s="60" t="s">
        <v>359</v>
      </c>
      <c r="M369" s="180"/>
    </row>
    <row r="370" spans="1:25" hidden="1" x14ac:dyDescent="0.25">
      <c r="A370" s="147"/>
      <c r="B370" s="117"/>
      <c r="C370" s="60"/>
      <c r="D370" s="60"/>
      <c r="E370" s="60"/>
      <c r="F370" s="60"/>
      <c r="G370" s="278" t="s">
        <v>49</v>
      </c>
      <c r="H370" s="60"/>
      <c r="I370" s="60" t="str">
        <f t="shared" ca="1" si="160"/>
        <v>(Tax)</v>
      </c>
      <c r="J370" s="60"/>
      <c r="K370" s="180"/>
      <c r="L370" s="60" t="s">
        <v>359</v>
      </c>
      <c r="M370" s="180"/>
      <c r="N370" s="60"/>
    </row>
    <row r="371" spans="1:25" hidden="1" x14ac:dyDescent="0.25">
      <c r="A371" s="147"/>
      <c r="B371" s="117"/>
      <c r="C371" s="60"/>
      <c r="D371" s="60"/>
      <c r="E371" s="60"/>
      <c r="F371" s="60"/>
      <c r="G371" s="278" t="s">
        <v>287</v>
      </c>
      <c r="H371" s="60"/>
      <c r="I371" s="60" t="str">
        <f t="shared" ca="1" si="160"/>
        <v>User defined calc #1</v>
      </c>
      <c r="J371" s="60"/>
      <c r="K371" s="180"/>
      <c r="L371" s="60" t="s">
        <v>359</v>
      </c>
      <c r="M371" s="180"/>
      <c r="N371" s="60"/>
    </row>
    <row r="372" spans="1:25" hidden="1" x14ac:dyDescent="0.25">
      <c r="A372" s="147"/>
      <c r="B372" s="117"/>
      <c r="C372" s="60"/>
      <c r="D372" s="60"/>
      <c r="E372" s="60"/>
      <c r="F372" s="60"/>
      <c r="G372" s="278" t="s">
        <v>288</v>
      </c>
      <c r="H372" s="60"/>
      <c r="I372" s="60" t="str">
        <f t="shared" ca="1" si="160"/>
        <v>User defined calc #2</v>
      </c>
      <c r="J372" s="60"/>
      <c r="K372" s="180"/>
      <c r="L372" s="60" t="s">
        <v>359</v>
      </c>
      <c r="M372" s="180"/>
      <c r="N372" s="60"/>
    </row>
    <row r="373" spans="1:25" hidden="1" x14ac:dyDescent="0.25">
      <c r="A373" s="147"/>
      <c r="B373" s="117"/>
      <c r="C373" s="60"/>
      <c r="D373" s="60"/>
      <c r="E373" s="60"/>
      <c r="F373" s="60"/>
      <c r="G373" s="278" t="s">
        <v>289</v>
      </c>
      <c r="H373" s="60"/>
      <c r="I373" s="60" t="str">
        <f t="shared" ca="1" si="160"/>
        <v>User defined calc #3</v>
      </c>
      <c r="J373" s="60"/>
      <c r="K373" s="180"/>
      <c r="L373" s="60" t="s">
        <v>359</v>
      </c>
      <c r="M373" s="180"/>
      <c r="N373" s="60"/>
    </row>
    <row r="374" spans="1:25" hidden="1" x14ac:dyDescent="0.25">
      <c r="A374" s="147"/>
      <c r="B374" s="117"/>
      <c r="C374" s="60"/>
      <c r="D374" s="60"/>
      <c r="E374" s="60"/>
      <c r="F374" s="60"/>
      <c r="G374" s="278" t="s">
        <v>290</v>
      </c>
      <c r="H374" s="60"/>
      <c r="I374" s="60" t="str">
        <f t="shared" ca="1" si="160"/>
        <v>User defined calc #4</v>
      </c>
      <c r="J374" s="60"/>
      <c r="K374" s="180"/>
      <c r="L374" s="60" t="s">
        <v>359</v>
      </c>
      <c r="M374" s="180"/>
      <c r="N374" s="60"/>
    </row>
    <row r="375" spans="1:25" hidden="1" x14ac:dyDescent="0.25">
      <c r="A375" s="147"/>
      <c r="B375" s="117"/>
      <c r="C375" s="60"/>
      <c r="D375" s="60"/>
      <c r="E375" s="60"/>
      <c r="F375" s="60"/>
      <c r="G375" s="278" t="s">
        <v>291</v>
      </c>
      <c r="H375" s="60"/>
      <c r="I375" s="60" t="str">
        <f t="shared" ca="1" si="160"/>
        <v>User defined calc #5</v>
      </c>
      <c r="J375" s="60"/>
      <c r="K375" s="180"/>
      <c r="L375" s="60" t="s">
        <v>359</v>
      </c>
      <c r="M375" s="180"/>
      <c r="N375" s="60"/>
    </row>
    <row r="376" spans="1:25" hidden="1" x14ac:dyDescent="0.25">
      <c r="A376" s="147"/>
      <c r="B376" s="117"/>
      <c r="C376" s="60"/>
      <c r="D376" s="60"/>
      <c r="E376" s="60"/>
      <c r="F376" s="60"/>
      <c r="G376" s="278" t="s">
        <v>292</v>
      </c>
      <c r="H376" s="60"/>
      <c r="I376" s="60" t="str">
        <f t="shared" ca="1" si="160"/>
        <v>User defined calc #6</v>
      </c>
      <c r="J376" s="60"/>
      <c r="K376" s="180"/>
      <c r="L376" s="60" t="s">
        <v>359</v>
      </c>
      <c r="M376" s="180"/>
      <c r="N376" s="60"/>
    </row>
    <row r="377" spans="1:25" hidden="1" x14ac:dyDescent="0.25">
      <c r="A377" s="147"/>
      <c r="B377" s="117"/>
      <c r="C377" s="60"/>
      <c r="D377" s="60"/>
      <c r="E377" s="60"/>
      <c r="F377" s="60"/>
      <c r="G377" s="278" t="s">
        <v>293</v>
      </c>
      <c r="H377" s="60"/>
      <c r="I377" s="60" t="str">
        <f t="shared" ca="1" si="160"/>
        <v>User defined calc #7</v>
      </c>
      <c r="J377" s="60"/>
      <c r="K377" s="180"/>
      <c r="L377" s="60" t="s">
        <v>359</v>
      </c>
      <c r="M377" s="180"/>
      <c r="N377" s="60"/>
    </row>
    <row r="378" spans="1:25" ht="13" hidden="1" thickBot="1" x14ac:dyDescent="0.3">
      <c r="A378" s="147"/>
      <c r="B378" s="122"/>
      <c r="C378" s="192"/>
      <c r="D378" s="192"/>
      <c r="E378" s="192"/>
      <c r="F378" s="192"/>
      <c r="G378" s="288" t="s">
        <v>294</v>
      </c>
      <c r="H378" s="192"/>
      <c r="I378" s="192" t="str">
        <f t="shared" ca="1" si="160"/>
        <v>User defined calc #8</v>
      </c>
      <c r="J378" s="192"/>
      <c r="K378" s="193"/>
      <c r="L378" s="192" t="s">
        <v>359</v>
      </c>
      <c r="M378" s="193"/>
      <c r="N378" s="60"/>
    </row>
    <row r="379" spans="1:25" ht="13" hidden="1" thickBot="1" x14ac:dyDescent="0.3">
      <c r="A379" s="147"/>
      <c r="B379" s="60"/>
      <c r="C379" s="60"/>
      <c r="D379" s="60"/>
      <c r="E379" s="60"/>
      <c r="F379" s="60"/>
      <c r="G379" s="60"/>
      <c r="H379" s="60"/>
      <c r="I379" s="60"/>
      <c r="J379" s="60"/>
      <c r="K379" s="60"/>
      <c r="L379" s="60"/>
      <c r="M379" s="60"/>
      <c r="N379" s="60"/>
    </row>
    <row r="380" spans="1:25" ht="13" hidden="1" thickBot="1" x14ac:dyDescent="0.3">
      <c r="A380" s="147"/>
      <c r="B380" s="289" t="s">
        <v>336</v>
      </c>
      <c r="C380" s="290"/>
      <c r="D380" s="290"/>
      <c r="E380" s="290"/>
      <c r="F380" s="246"/>
      <c r="G380" s="246"/>
      <c r="H380" s="246"/>
      <c r="I380" s="246"/>
      <c r="J380" s="246"/>
      <c r="K380" s="246"/>
      <c r="L380" s="246"/>
      <c r="M380" s="246"/>
      <c r="N380" s="246"/>
      <c r="O380" s="246"/>
      <c r="P380" s="246"/>
      <c r="Q380" s="246"/>
      <c r="R380" s="246"/>
      <c r="S380" s="246"/>
      <c r="T380" s="246"/>
      <c r="U380" s="246"/>
      <c r="V380" s="246"/>
      <c r="W380" s="246"/>
      <c r="X380" s="246"/>
      <c r="Y380" s="247"/>
    </row>
    <row r="381" spans="1:25" s="255" customFormat="1" ht="87.5" hidden="1" x14ac:dyDescent="0.25">
      <c r="A381" s="291"/>
      <c r="B381" s="292"/>
      <c r="C381" s="187"/>
      <c r="D381" s="293">
        <f ca="1">OFFSET(INDIRECT(OFFSET(G333,M336,0)),0,Attribution!L5-base_year+1)</f>
        <v>83.921757918230455</v>
      </c>
      <c r="E381" s="293" t="str">
        <f ca="1">B3</f>
        <v/>
      </c>
      <c r="F381" s="293">
        <v>0</v>
      </c>
      <c r="G381" s="187" t="s">
        <v>356</v>
      </c>
      <c r="H381" s="187" t="s">
        <v>339</v>
      </c>
      <c r="I381" s="187" t="s">
        <v>340</v>
      </c>
      <c r="J381" s="187" t="s">
        <v>341</v>
      </c>
      <c r="K381" s="187" t="s">
        <v>342</v>
      </c>
      <c r="L381" s="187"/>
      <c r="M381" s="187"/>
      <c r="N381" s="187" t="s">
        <v>142</v>
      </c>
      <c r="O381" s="187" t="s">
        <v>343</v>
      </c>
      <c r="P381" s="294"/>
      <c r="Q381" s="295"/>
      <c r="R381" s="479" t="s">
        <v>346</v>
      </c>
      <c r="S381" s="481"/>
      <c r="T381" s="479" t="s">
        <v>358</v>
      </c>
      <c r="U381" s="480"/>
      <c r="V381" s="294" t="s">
        <v>347</v>
      </c>
      <c r="W381" s="296" t="s">
        <v>348</v>
      </c>
      <c r="X381" s="296" t="s">
        <v>349</v>
      </c>
      <c r="Y381" s="295" t="s">
        <v>350</v>
      </c>
    </row>
    <row r="382" spans="1:25" hidden="1" x14ac:dyDescent="0.25">
      <c r="A382" s="147"/>
      <c r="B382" s="117" t="s">
        <v>332</v>
      </c>
      <c r="C382" s="60">
        <v>0</v>
      </c>
      <c r="D382" s="60">
        <f t="dataTable" ref="D382:E398" dt2D="0" dtr="0" r1="C173" ca="1"/>
        <v>83.921757918230455</v>
      </c>
      <c r="E382" s="60" t="str">
        <v/>
      </c>
      <c r="F382" s="220">
        <f>F381+IF(LEN(E382)&gt;0,1,0)</f>
        <v>0</v>
      </c>
      <c r="G382" s="60">
        <f t="array" ref="G382">MAX(ABS(G383:G398))</f>
        <v>17.296155950954294</v>
      </c>
      <c r="H382" s="60"/>
      <c r="I382" s="60"/>
      <c r="J382" s="60"/>
      <c r="K382" s="60"/>
      <c r="L382" s="60"/>
      <c r="M382" s="60"/>
      <c r="N382" s="60"/>
      <c r="O382" s="60">
        <f>MAX(I384:I398)</f>
        <v>7</v>
      </c>
      <c r="P382" s="117" t="s">
        <v>344</v>
      </c>
      <c r="Q382" s="180" t="s">
        <v>345</v>
      </c>
      <c r="R382" s="117" t="s">
        <v>357</v>
      </c>
      <c r="S382" s="180" t="s">
        <v>345</v>
      </c>
      <c r="T382" s="117"/>
      <c r="U382" s="180"/>
      <c r="V382" s="117"/>
      <c r="W382" s="60"/>
      <c r="X382" s="60"/>
      <c r="Y382" s="180"/>
    </row>
    <row r="383" spans="1:25" hidden="1" x14ac:dyDescent="0.25">
      <c r="A383" s="147"/>
      <c r="B383" s="117" t="s">
        <v>331</v>
      </c>
      <c r="C383" s="60">
        <v>1</v>
      </c>
      <c r="D383" s="60">
        <v>83.921757918230455</v>
      </c>
      <c r="E383" s="60" t="str">
        <v/>
      </c>
      <c r="F383" s="220">
        <f t="shared" ref="F383:F398" si="164">F382+IF(LEN(E383)&gt;0,1,0)</f>
        <v>0</v>
      </c>
      <c r="G383" s="60"/>
      <c r="H383" s="161"/>
      <c r="I383" s="60"/>
      <c r="J383" s="60"/>
      <c r="K383" s="30" t="s">
        <v>352</v>
      </c>
      <c r="L383" s="60"/>
      <c r="M383" s="60"/>
      <c r="N383" s="60">
        <f>D383</f>
        <v>83.921757918230455</v>
      </c>
      <c r="O383" s="60"/>
      <c r="P383" s="117">
        <v>0</v>
      </c>
      <c r="Q383" s="180">
        <f>D383</f>
        <v>83.921757918230455</v>
      </c>
      <c r="R383" s="117">
        <f t="shared" ref="R383:R398" si="165">IF(Q383&lt;0,P383+Q383,P383)</f>
        <v>0</v>
      </c>
      <c r="S383" s="180">
        <f t="shared" ref="S383:S398" si="166">IF(Q383&lt;0,-Q383,Q383)</f>
        <v>83.921757918230455</v>
      </c>
      <c r="T383" s="117">
        <f>IF(LEN(S383)=0,IF(R383&gt;0,0,R383),R383)</f>
        <v>0</v>
      </c>
      <c r="U383" s="180">
        <f>IF(LEN(S383)=0,IF(R383&gt;0,R383,-R383),S383)</f>
        <v>83.921757918230455</v>
      </c>
      <c r="V383" s="117">
        <f>IF(T383&gt;0,T383,0)</f>
        <v>0</v>
      </c>
      <c r="W383" s="60">
        <f>IF(V383&gt;0,0,T383-X383)</f>
        <v>0</v>
      </c>
      <c r="X383" s="60">
        <f>IF(SUM(T383:U383)&gt;0,0,SUM(T383:U383))</f>
        <v>0</v>
      </c>
      <c r="Y383" s="180">
        <f>IF(T383&gt;=0,U383,IF(SUM(T383:U383)&gt;0,SUM(T383:U383),0))</f>
        <v>83.921757918230455</v>
      </c>
    </row>
    <row r="384" spans="1:25" hidden="1" x14ac:dyDescent="0.25">
      <c r="A384" s="147"/>
      <c r="B384" s="117" t="str">
        <f>B335</f>
        <v>Initial return on capital</v>
      </c>
      <c r="C384" s="60">
        <f>C383+1</f>
        <v>2</v>
      </c>
      <c r="D384" s="60">
        <v>79.330444471840309</v>
      </c>
      <c r="E384" s="60" t="str">
        <v/>
      </c>
      <c r="F384" s="220">
        <f t="shared" si="164"/>
        <v>0</v>
      </c>
      <c r="G384" s="60">
        <f>D384-D383</f>
        <v>-4.5913134463901457</v>
      </c>
      <c r="H384" s="60">
        <f>IF(ABS(G384)&gt;$G$382/20,1,0)</f>
        <v>1</v>
      </c>
      <c r="I384" s="60">
        <f>SUM(H$384:H384)</f>
        <v>1</v>
      </c>
      <c r="J384" s="60">
        <f>MATCH(C383,$I$384:$I$398,0)</f>
        <v>1</v>
      </c>
      <c r="K384" s="60" t="str">
        <f t="shared" ref="K384:K398" ca="1" si="167">IF(ISNA(J384),IF(NOT(ISNA(J383)),"Scenario 2",""),OFFSET($B$383,J384,0))</f>
        <v>Initial return on capital</v>
      </c>
      <c r="L384" s="60"/>
      <c r="M384" s="60"/>
      <c r="N384" s="60">
        <f ca="1">IF(ISNA(J384),"",OFFSET($G$383,J384,0))</f>
        <v>-4.5913134463901457</v>
      </c>
      <c r="O384" s="60"/>
      <c r="P384" s="117">
        <f>Q383</f>
        <v>83.921757918230455</v>
      </c>
      <c r="Q384" s="180">
        <f t="shared" ref="Q384:Q390" ca="1" si="168">N384</f>
        <v>-4.5913134463901457</v>
      </c>
      <c r="R384" s="117">
        <f t="shared" ca="1" si="165"/>
        <v>79.330444471840309</v>
      </c>
      <c r="S384" s="180">
        <f t="shared" ca="1" si="166"/>
        <v>4.5913134463901457</v>
      </c>
      <c r="T384" s="117">
        <f ca="1">IF(LEN(S384)=0,IF(R384&gt;0,0,R384),R384)</f>
        <v>79.330444471840309</v>
      </c>
      <c r="U384" s="180">
        <f t="shared" ref="U384:U398" ca="1" si="169">IF(LEN(S384)=0,IF(R384&gt;0,R384,-R384),S384)</f>
        <v>4.5913134463901457</v>
      </c>
      <c r="V384" s="117">
        <f t="shared" ref="V384:V398" ca="1" si="170">IF(T384&gt;0,T384,0)</f>
        <v>79.330444471840309</v>
      </c>
      <c r="W384" s="60">
        <f t="shared" ref="W384:W398" ca="1" si="171">IF(V384&gt;0,0,T384-X384)</f>
        <v>0</v>
      </c>
      <c r="X384" s="60">
        <f t="shared" ref="X384:X398" ca="1" si="172">IF(SUM(T384:U384)&gt;0,0,SUM(T384:U384))</f>
        <v>0</v>
      </c>
      <c r="Y384" s="180">
        <f t="shared" ref="Y384:Y398" ca="1" si="173">IF(T384&gt;=0,U384,IF(SUM(T384:U384)&gt;0,SUM(T384:U384),0))</f>
        <v>4.5913134463901457</v>
      </c>
    </row>
    <row r="385" spans="2:25" hidden="1" x14ac:dyDescent="0.25">
      <c r="B385" s="117" t="str">
        <f t="shared" ref="B385:B397" si="174">B336</f>
        <v>Initial debt / equity ratio</v>
      </c>
      <c r="C385" s="60">
        <f t="shared" ref="C385:C398" si="175">C384+1</f>
        <v>3</v>
      </c>
      <c r="D385" s="60">
        <v>62.034288520886015</v>
      </c>
      <c r="E385" s="60" t="str">
        <v/>
      </c>
      <c r="F385" s="220">
        <f t="shared" si="164"/>
        <v>0</v>
      </c>
      <c r="G385" s="60">
        <f t="shared" ref="G385:G398" si="176">D385-D384</f>
        <v>-17.296155950954294</v>
      </c>
      <c r="H385" s="60">
        <f t="shared" ref="H385:H398" si="177">IF(ABS(G385)&gt;$G$382/20,1,0)</f>
        <v>1</v>
      </c>
      <c r="I385" s="60">
        <f>SUM(H$384:H385)</f>
        <v>2</v>
      </c>
      <c r="J385" s="60">
        <f t="shared" ref="J385:J399" si="178">MATCH(C384,$I$384:$I$398,0)</f>
        <v>2</v>
      </c>
      <c r="K385" s="60" t="str">
        <f t="shared" ca="1" si="167"/>
        <v>Initial debt / equity ratio</v>
      </c>
      <c r="L385" s="60"/>
      <c r="M385" s="60"/>
      <c r="N385" s="60">
        <f t="shared" ref="N385:N398" ca="1" si="179">IF(ISNA(J385),"",OFFSET($G$383,J385,0))</f>
        <v>-17.296155950954294</v>
      </c>
      <c r="O385" s="60"/>
      <c r="P385" s="117">
        <f t="shared" ref="P385:P390" ca="1" si="180">P384+Q384</f>
        <v>79.330444471840309</v>
      </c>
      <c r="Q385" s="180">
        <f t="shared" ca="1" si="168"/>
        <v>-17.296155950954294</v>
      </c>
      <c r="R385" s="117">
        <f t="shared" ca="1" si="165"/>
        <v>62.034288520886015</v>
      </c>
      <c r="S385" s="180">
        <f t="shared" ca="1" si="166"/>
        <v>17.296155950954294</v>
      </c>
      <c r="T385" s="117">
        <f ca="1">IF(LEN(S385)=0,IF(R385&gt;0,0,R385),R385)</f>
        <v>62.034288520886015</v>
      </c>
      <c r="U385" s="180">
        <f t="shared" ca="1" si="169"/>
        <v>17.296155950954294</v>
      </c>
      <c r="V385" s="117">
        <f t="shared" ca="1" si="170"/>
        <v>62.034288520886015</v>
      </c>
      <c r="W385" s="60">
        <f t="shared" ca="1" si="171"/>
        <v>0</v>
      </c>
      <c r="X385" s="60">
        <f t="shared" ca="1" si="172"/>
        <v>0</v>
      </c>
      <c r="Y385" s="180">
        <f t="shared" ca="1" si="173"/>
        <v>17.296155950954294</v>
      </c>
    </row>
    <row r="386" spans="2:25" hidden="1" x14ac:dyDescent="0.25">
      <c r="B386" s="117" t="str">
        <f t="shared" si="174"/>
        <v>Initial depreciation rate</v>
      </c>
      <c r="C386" s="60">
        <f t="shared" si="175"/>
        <v>4</v>
      </c>
      <c r="D386" s="60">
        <v>62.03428852088598</v>
      </c>
      <c r="E386" s="60" t="str">
        <v/>
      </c>
      <c r="F386" s="220">
        <f t="shared" si="164"/>
        <v>0</v>
      </c>
      <c r="G386" s="60">
        <f t="shared" si="176"/>
        <v>0</v>
      </c>
      <c r="H386" s="60">
        <f t="shared" si="177"/>
        <v>0</v>
      </c>
      <c r="I386" s="60">
        <f>SUM(H$384:H386)</f>
        <v>2</v>
      </c>
      <c r="J386" s="60">
        <f t="shared" si="178"/>
        <v>4</v>
      </c>
      <c r="K386" s="60" t="str">
        <f t="shared" ca="1" si="167"/>
        <v>Initial tax rate</v>
      </c>
      <c r="L386" s="60"/>
      <c r="M386" s="60"/>
      <c r="N386" s="60">
        <f t="shared" ca="1" si="179"/>
        <v>1.0455561080884692</v>
      </c>
      <c r="O386" s="60"/>
      <c r="P386" s="117">
        <f t="shared" ca="1" si="180"/>
        <v>62.034288520886015</v>
      </c>
      <c r="Q386" s="180">
        <f t="shared" ca="1" si="168"/>
        <v>1.0455561080884692</v>
      </c>
      <c r="R386" s="117">
        <f t="shared" ca="1" si="165"/>
        <v>62.034288520886015</v>
      </c>
      <c r="S386" s="180">
        <f t="shared" ca="1" si="166"/>
        <v>1.0455561080884692</v>
      </c>
      <c r="T386" s="117">
        <f ca="1">IF(LEN(S386)=0,IF(R386&gt;0,0,R386),R386)</f>
        <v>62.034288520886015</v>
      </c>
      <c r="U386" s="180">
        <f t="shared" ca="1" si="169"/>
        <v>1.0455561080884692</v>
      </c>
      <c r="V386" s="117">
        <f t="shared" ca="1" si="170"/>
        <v>62.034288520886015</v>
      </c>
      <c r="W386" s="60">
        <f t="shared" ca="1" si="171"/>
        <v>0</v>
      </c>
      <c r="X386" s="60">
        <f t="shared" ca="1" si="172"/>
        <v>0</v>
      </c>
      <c r="Y386" s="180">
        <f t="shared" ca="1" si="173"/>
        <v>1.0455561080884692</v>
      </c>
    </row>
    <row r="387" spans="2:25" hidden="1" x14ac:dyDescent="0.25">
      <c r="B387" s="117" t="str">
        <f t="shared" si="174"/>
        <v>Initial tax rate</v>
      </c>
      <c r="C387" s="60">
        <f t="shared" si="175"/>
        <v>5</v>
      </c>
      <c r="D387" s="60">
        <v>63.079844628974449</v>
      </c>
      <c r="E387" s="60" t="str">
        <v/>
      </c>
      <c r="F387" s="220">
        <f t="shared" si="164"/>
        <v>0</v>
      </c>
      <c r="G387" s="60">
        <f t="shared" si="176"/>
        <v>1.0455561080884692</v>
      </c>
      <c r="H387" s="60">
        <f t="shared" si="177"/>
        <v>1</v>
      </c>
      <c r="I387" s="60">
        <f>SUM(H$384:H387)</f>
        <v>3</v>
      </c>
      <c r="J387" s="60">
        <f t="shared" si="178"/>
        <v>7</v>
      </c>
      <c r="K387" s="60" t="str">
        <f t="shared" ca="1" si="167"/>
        <v>Initial growth rate</v>
      </c>
      <c r="L387" s="60"/>
      <c r="M387" s="60"/>
      <c r="N387" s="60">
        <f t="shared" ca="1" si="179"/>
        <v>-2.0827219330087487</v>
      </c>
      <c r="O387" s="60"/>
      <c r="P387" s="117">
        <f t="shared" ca="1" si="180"/>
        <v>63.079844628974485</v>
      </c>
      <c r="Q387" s="180">
        <f t="shared" ca="1" si="168"/>
        <v>-2.0827219330087487</v>
      </c>
      <c r="R387" s="117">
        <f t="shared" ca="1" si="165"/>
        <v>60.997122695965736</v>
      </c>
      <c r="S387" s="180">
        <f t="shared" ca="1" si="166"/>
        <v>2.0827219330087487</v>
      </c>
      <c r="T387" s="117">
        <f ca="1">IF(LEN(S387)=0,IF(R387&gt;0,0,R387),R387)</f>
        <v>60.997122695965736</v>
      </c>
      <c r="U387" s="180">
        <f t="shared" ca="1" si="169"/>
        <v>2.0827219330087487</v>
      </c>
      <c r="V387" s="117">
        <f t="shared" ca="1" si="170"/>
        <v>60.997122695965736</v>
      </c>
      <c r="W387" s="60">
        <f t="shared" ca="1" si="171"/>
        <v>0</v>
      </c>
      <c r="X387" s="60">
        <f t="shared" ca="1" si="172"/>
        <v>0</v>
      </c>
      <c r="Y387" s="180">
        <f t="shared" ca="1" si="173"/>
        <v>2.0827219330087487</v>
      </c>
    </row>
    <row r="388" spans="2:25" hidden="1" x14ac:dyDescent="0.25">
      <c r="B388" s="117" t="str">
        <f t="shared" si="174"/>
        <v>Initial risk free rate</v>
      </c>
      <c r="C388" s="60">
        <f t="shared" si="175"/>
        <v>6</v>
      </c>
      <c r="D388" s="60">
        <v>63.079844628974449</v>
      </c>
      <c r="E388" s="60" t="str">
        <v/>
      </c>
      <c r="F388" s="220">
        <f t="shared" si="164"/>
        <v>0</v>
      </c>
      <c r="G388" s="60">
        <f t="shared" si="176"/>
        <v>0</v>
      </c>
      <c r="H388" s="60">
        <f t="shared" si="177"/>
        <v>0</v>
      </c>
      <c r="I388" s="60">
        <f>SUM(H$384:H388)</f>
        <v>3</v>
      </c>
      <c r="J388" s="60">
        <f t="shared" si="178"/>
        <v>9</v>
      </c>
      <c r="K388" s="60" t="str">
        <f t="shared" ca="1" si="167"/>
        <v>Terminal debt / equity ratio</v>
      </c>
      <c r="L388" s="60"/>
      <c r="M388" s="60"/>
      <c r="N388" s="60">
        <f t="shared" ca="1" si="179"/>
        <v>11.254167063402434</v>
      </c>
      <c r="O388" s="60"/>
      <c r="P388" s="117">
        <f t="shared" ca="1" si="180"/>
        <v>60.997122695965736</v>
      </c>
      <c r="Q388" s="180">
        <f t="shared" ca="1" si="168"/>
        <v>11.254167063402434</v>
      </c>
      <c r="R388" s="117">
        <f t="shared" ca="1" si="165"/>
        <v>60.997122695965736</v>
      </c>
      <c r="S388" s="180">
        <f t="shared" ca="1" si="166"/>
        <v>11.254167063402434</v>
      </c>
      <c r="T388" s="117">
        <f t="shared" ref="T388:T398" ca="1" si="181">IF(LEN(S388)=0,IF(R388&gt;0,0,R388),R388)</f>
        <v>60.997122695965736</v>
      </c>
      <c r="U388" s="180">
        <f t="shared" ca="1" si="169"/>
        <v>11.254167063402434</v>
      </c>
      <c r="V388" s="117">
        <f t="shared" ca="1" si="170"/>
        <v>60.997122695965736</v>
      </c>
      <c r="W388" s="60">
        <f t="shared" ca="1" si="171"/>
        <v>0</v>
      </c>
      <c r="X388" s="60">
        <f t="shared" ca="1" si="172"/>
        <v>0</v>
      </c>
      <c r="Y388" s="180">
        <f t="shared" ca="1" si="173"/>
        <v>11.254167063402434</v>
      </c>
    </row>
    <row r="389" spans="2:25" hidden="1" x14ac:dyDescent="0.25">
      <c r="B389" s="117" t="str">
        <f t="shared" si="174"/>
        <v>Initial equity margin</v>
      </c>
      <c r="C389" s="60">
        <f t="shared" si="175"/>
        <v>7</v>
      </c>
      <c r="D389" s="60">
        <v>63.079844628974449</v>
      </c>
      <c r="E389" s="60" t="str">
        <v/>
      </c>
      <c r="F389" s="220">
        <f t="shared" si="164"/>
        <v>0</v>
      </c>
      <c r="G389" s="60">
        <f t="shared" si="176"/>
        <v>0</v>
      </c>
      <c r="H389" s="60">
        <f t="shared" si="177"/>
        <v>0</v>
      </c>
      <c r="I389" s="60">
        <f>SUM(H$384:H389)</f>
        <v>3</v>
      </c>
      <c r="J389" s="60">
        <f t="shared" si="178"/>
        <v>11</v>
      </c>
      <c r="K389" s="60" t="str">
        <f t="shared" ca="1" si="167"/>
        <v>Terminal tax rate</v>
      </c>
      <c r="L389" s="60"/>
      <c r="M389" s="60"/>
      <c r="N389" s="60">
        <f t="shared" ca="1" si="179"/>
        <v>5.087588810069775</v>
      </c>
      <c r="O389" s="60"/>
      <c r="P389" s="117">
        <f t="shared" ca="1" si="180"/>
        <v>72.251289759368177</v>
      </c>
      <c r="Q389" s="180">
        <f t="shared" ca="1" si="168"/>
        <v>5.087588810069775</v>
      </c>
      <c r="R389" s="117">
        <f t="shared" ca="1" si="165"/>
        <v>72.251289759368177</v>
      </c>
      <c r="S389" s="180">
        <f t="shared" ca="1" si="166"/>
        <v>5.087588810069775</v>
      </c>
      <c r="T389" s="117">
        <f t="shared" ca="1" si="181"/>
        <v>72.251289759368177</v>
      </c>
      <c r="U389" s="180">
        <f t="shared" ca="1" si="169"/>
        <v>5.087588810069775</v>
      </c>
      <c r="V389" s="117">
        <f t="shared" ca="1" si="170"/>
        <v>72.251289759368177</v>
      </c>
      <c r="W389" s="60">
        <f t="shared" ca="1" si="171"/>
        <v>0</v>
      </c>
      <c r="X389" s="60">
        <f t="shared" ca="1" si="172"/>
        <v>0</v>
      </c>
      <c r="Y389" s="180">
        <f t="shared" ca="1" si="173"/>
        <v>5.087588810069775</v>
      </c>
    </row>
    <row r="390" spans="2:25" hidden="1" x14ac:dyDescent="0.25">
      <c r="B390" s="117" t="str">
        <f t="shared" si="174"/>
        <v>Initial growth rate</v>
      </c>
      <c r="C390" s="60">
        <f t="shared" si="175"/>
        <v>8</v>
      </c>
      <c r="D390" s="60">
        <v>60.9971226959657</v>
      </c>
      <c r="E390" s="60" t="str">
        <v/>
      </c>
      <c r="F390" s="220">
        <f t="shared" si="164"/>
        <v>0</v>
      </c>
      <c r="G390" s="60">
        <f t="shared" si="176"/>
        <v>-2.0827219330087487</v>
      </c>
      <c r="H390" s="60">
        <f t="shared" si="177"/>
        <v>1</v>
      </c>
      <c r="I390" s="60">
        <f>SUM(H$384:H390)</f>
        <v>4</v>
      </c>
      <c r="J390" s="60">
        <f t="shared" si="178"/>
        <v>12</v>
      </c>
      <c r="K390" s="60" t="str">
        <f t="shared" ca="1" si="167"/>
        <v>Terminal risk free rate</v>
      </c>
      <c r="L390" s="60"/>
      <c r="M390" s="60"/>
      <c r="N390" s="60">
        <f t="shared" ca="1" si="179"/>
        <v>-10.116026276339781</v>
      </c>
      <c r="O390" s="60"/>
      <c r="P390" s="117">
        <f t="shared" ca="1" si="180"/>
        <v>77.338878569437952</v>
      </c>
      <c r="Q390" s="180">
        <f t="shared" ca="1" si="168"/>
        <v>-10.116026276339781</v>
      </c>
      <c r="R390" s="117">
        <f t="shared" ca="1" si="165"/>
        <v>67.222852293098171</v>
      </c>
      <c r="S390" s="180">
        <f t="shared" ca="1" si="166"/>
        <v>10.116026276339781</v>
      </c>
      <c r="T390" s="117">
        <f t="shared" ca="1" si="181"/>
        <v>67.222852293098171</v>
      </c>
      <c r="U390" s="180">
        <f t="shared" ca="1" si="169"/>
        <v>10.116026276339781</v>
      </c>
      <c r="V390" s="117">
        <f t="shared" ca="1" si="170"/>
        <v>67.222852293098171</v>
      </c>
      <c r="W390" s="60">
        <f t="shared" ca="1" si="171"/>
        <v>0</v>
      </c>
      <c r="X390" s="60">
        <f t="shared" ca="1" si="172"/>
        <v>0</v>
      </c>
      <c r="Y390" s="180">
        <f t="shared" ca="1" si="173"/>
        <v>10.116026276339781</v>
      </c>
    </row>
    <row r="391" spans="2:25" hidden="1" x14ac:dyDescent="0.25">
      <c r="B391" s="117" t="str">
        <f t="shared" si="174"/>
        <v>Terminal return on capital</v>
      </c>
      <c r="C391" s="60">
        <f t="shared" si="175"/>
        <v>9</v>
      </c>
      <c r="D391" s="60">
        <v>60.9971226959657</v>
      </c>
      <c r="E391" s="60" t="str">
        <v/>
      </c>
      <c r="F391" s="220">
        <f t="shared" si="164"/>
        <v>0</v>
      </c>
      <c r="G391" s="60">
        <f t="shared" si="176"/>
        <v>0</v>
      </c>
      <c r="H391" s="60">
        <f t="shared" si="177"/>
        <v>0</v>
      </c>
      <c r="I391" s="60">
        <f>SUM(H$384:H391)</f>
        <v>4</v>
      </c>
      <c r="J391" s="60" t="e">
        <f t="shared" si="178"/>
        <v>#N/A</v>
      </c>
      <c r="K391" s="60" t="str">
        <f t="shared" ca="1" si="167"/>
        <v>Scenario 2</v>
      </c>
      <c r="L391" s="60"/>
      <c r="M391" s="60"/>
      <c r="N391" s="60" t="str">
        <f t="shared" ca="1" si="179"/>
        <v/>
      </c>
      <c r="O391" s="60"/>
      <c r="P391" s="117">
        <f t="shared" ref="P391:P398" ca="1" si="182">P390+Q390</f>
        <v>67.222852293098171</v>
      </c>
      <c r="Q391" s="180" t="str">
        <f t="shared" ref="Q391:Q398" ca="1" si="183">N391</f>
        <v/>
      </c>
      <c r="R391" s="117">
        <f t="shared" ca="1" si="165"/>
        <v>67.222852293098171</v>
      </c>
      <c r="S391" s="180" t="str">
        <f t="shared" ca="1" si="166"/>
        <v/>
      </c>
      <c r="T391" s="117">
        <f t="shared" ca="1" si="181"/>
        <v>0</v>
      </c>
      <c r="U391" s="180">
        <f t="shared" ca="1" si="169"/>
        <v>67.222852293098171</v>
      </c>
      <c r="V391" s="117">
        <f t="shared" ca="1" si="170"/>
        <v>0</v>
      </c>
      <c r="W391" s="60">
        <f t="shared" ca="1" si="171"/>
        <v>0</v>
      </c>
      <c r="X391" s="60">
        <f t="shared" ca="1" si="172"/>
        <v>0</v>
      </c>
      <c r="Y391" s="180">
        <f t="shared" ca="1" si="173"/>
        <v>67.222852293098171</v>
      </c>
    </row>
    <row r="392" spans="2:25" hidden="1" x14ac:dyDescent="0.25">
      <c r="B392" s="117" t="str">
        <f t="shared" si="174"/>
        <v>Terminal debt / equity ratio</v>
      </c>
      <c r="C392" s="60">
        <f t="shared" si="175"/>
        <v>10</v>
      </c>
      <c r="D392" s="60">
        <v>72.251289759368134</v>
      </c>
      <c r="E392" s="60" t="str">
        <v/>
      </c>
      <c r="F392" s="220">
        <f t="shared" si="164"/>
        <v>0</v>
      </c>
      <c r="G392" s="60">
        <f t="shared" si="176"/>
        <v>11.254167063402434</v>
      </c>
      <c r="H392" s="60">
        <f t="shared" si="177"/>
        <v>1</v>
      </c>
      <c r="I392" s="60">
        <f>SUM(H$384:H392)</f>
        <v>5</v>
      </c>
      <c r="J392" s="60" t="e">
        <f t="shared" si="178"/>
        <v>#N/A</v>
      </c>
      <c r="K392" s="60" t="str">
        <f t="shared" ca="1" si="167"/>
        <v/>
      </c>
      <c r="L392" s="60"/>
      <c r="M392" s="60"/>
      <c r="N392" s="60" t="str">
        <f t="shared" ca="1" si="179"/>
        <v/>
      </c>
      <c r="O392" s="60"/>
      <c r="P392" s="117" t="e">
        <f t="shared" ca="1" si="182"/>
        <v>#VALUE!</v>
      </c>
      <c r="Q392" s="180" t="str">
        <f t="shared" ca="1" si="183"/>
        <v/>
      </c>
      <c r="R392" s="117" t="e">
        <f t="shared" ca="1" si="165"/>
        <v>#VALUE!</v>
      </c>
      <c r="S392" s="180" t="str">
        <f t="shared" ca="1" si="166"/>
        <v/>
      </c>
      <c r="T392" s="117" t="e">
        <f t="shared" ca="1" si="181"/>
        <v>#VALUE!</v>
      </c>
      <c r="U392" s="180" t="e">
        <f t="shared" ca="1" si="169"/>
        <v>#VALUE!</v>
      </c>
      <c r="V392" s="117" t="e">
        <f t="shared" ca="1" si="170"/>
        <v>#VALUE!</v>
      </c>
      <c r="W392" s="60" t="e">
        <f t="shared" ca="1" si="171"/>
        <v>#VALUE!</v>
      </c>
      <c r="X392" s="60" t="e">
        <f t="shared" ca="1" si="172"/>
        <v>#VALUE!</v>
      </c>
      <c r="Y392" s="180" t="e">
        <f t="shared" ca="1" si="173"/>
        <v>#VALUE!</v>
      </c>
    </row>
    <row r="393" spans="2:25" hidden="1" x14ac:dyDescent="0.25">
      <c r="B393" s="117" t="str">
        <f t="shared" si="174"/>
        <v>Terminal depreciation rate</v>
      </c>
      <c r="C393" s="60">
        <f t="shared" si="175"/>
        <v>11</v>
      </c>
      <c r="D393" s="60">
        <v>72.25128975936812</v>
      </c>
      <c r="E393" s="60" t="str">
        <v/>
      </c>
      <c r="F393" s="220">
        <f t="shared" si="164"/>
        <v>0</v>
      </c>
      <c r="G393" s="60">
        <f t="shared" si="176"/>
        <v>0</v>
      </c>
      <c r="H393" s="60">
        <f t="shared" si="177"/>
        <v>0</v>
      </c>
      <c r="I393" s="60">
        <f>SUM(H$384:H393)</f>
        <v>5</v>
      </c>
      <c r="J393" s="60" t="e">
        <f t="shared" si="178"/>
        <v>#N/A</v>
      </c>
      <c r="K393" s="60" t="str">
        <f t="shared" ca="1" si="167"/>
        <v/>
      </c>
      <c r="L393" s="60"/>
      <c r="M393" s="60"/>
      <c r="N393" s="60" t="str">
        <f t="shared" ca="1" si="179"/>
        <v/>
      </c>
      <c r="O393" s="60"/>
      <c r="P393" s="117" t="e">
        <f t="shared" ca="1" si="182"/>
        <v>#VALUE!</v>
      </c>
      <c r="Q393" s="180" t="str">
        <f t="shared" ca="1" si="183"/>
        <v/>
      </c>
      <c r="R393" s="117" t="e">
        <f t="shared" ca="1" si="165"/>
        <v>#VALUE!</v>
      </c>
      <c r="S393" s="180" t="str">
        <f t="shared" ca="1" si="166"/>
        <v/>
      </c>
      <c r="T393" s="117" t="e">
        <f t="shared" ca="1" si="181"/>
        <v>#VALUE!</v>
      </c>
      <c r="U393" s="180" t="e">
        <f t="shared" ca="1" si="169"/>
        <v>#VALUE!</v>
      </c>
      <c r="V393" s="117" t="e">
        <f t="shared" ca="1" si="170"/>
        <v>#VALUE!</v>
      </c>
      <c r="W393" s="60" t="e">
        <f t="shared" ca="1" si="171"/>
        <v>#VALUE!</v>
      </c>
      <c r="X393" s="60" t="e">
        <f t="shared" ca="1" si="172"/>
        <v>#VALUE!</v>
      </c>
      <c r="Y393" s="180" t="e">
        <f t="shared" ca="1" si="173"/>
        <v>#VALUE!</v>
      </c>
    </row>
    <row r="394" spans="2:25" hidden="1" x14ac:dyDescent="0.25">
      <c r="B394" s="117" t="str">
        <f>B345</f>
        <v>Terminal tax rate</v>
      </c>
      <c r="C394" s="60">
        <f t="shared" si="175"/>
        <v>12</v>
      </c>
      <c r="D394" s="60">
        <v>77.338878569437895</v>
      </c>
      <c r="E394" s="60" t="str">
        <v/>
      </c>
      <c r="F394" s="220">
        <f t="shared" si="164"/>
        <v>0</v>
      </c>
      <c r="G394" s="60">
        <f t="shared" si="176"/>
        <v>5.087588810069775</v>
      </c>
      <c r="H394" s="60">
        <f t="shared" si="177"/>
        <v>1</v>
      </c>
      <c r="I394" s="60">
        <f>SUM(H$384:H394)</f>
        <v>6</v>
      </c>
      <c r="J394" s="60" t="e">
        <f t="shared" si="178"/>
        <v>#N/A</v>
      </c>
      <c r="K394" s="60" t="str">
        <f t="shared" ca="1" si="167"/>
        <v/>
      </c>
      <c r="L394" s="60"/>
      <c r="M394" s="60"/>
      <c r="N394" s="60" t="str">
        <f t="shared" ca="1" si="179"/>
        <v/>
      </c>
      <c r="O394" s="60"/>
      <c r="P394" s="117" t="e">
        <f t="shared" ca="1" si="182"/>
        <v>#VALUE!</v>
      </c>
      <c r="Q394" s="180" t="str">
        <f t="shared" ca="1" si="183"/>
        <v/>
      </c>
      <c r="R394" s="117" t="e">
        <f t="shared" ca="1" si="165"/>
        <v>#VALUE!</v>
      </c>
      <c r="S394" s="180" t="str">
        <f t="shared" ca="1" si="166"/>
        <v/>
      </c>
      <c r="T394" s="117" t="e">
        <f t="shared" ca="1" si="181"/>
        <v>#VALUE!</v>
      </c>
      <c r="U394" s="180" t="e">
        <f t="shared" ca="1" si="169"/>
        <v>#VALUE!</v>
      </c>
      <c r="V394" s="117" t="e">
        <f t="shared" ca="1" si="170"/>
        <v>#VALUE!</v>
      </c>
      <c r="W394" s="60" t="e">
        <f t="shared" ca="1" si="171"/>
        <v>#VALUE!</v>
      </c>
      <c r="X394" s="60" t="e">
        <f t="shared" ca="1" si="172"/>
        <v>#VALUE!</v>
      </c>
      <c r="Y394" s="180" t="e">
        <f t="shared" ca="1" si="173"/>
        <v>#VALUE!</v>
      </c>
    </row>
    <row r="395" spans="2:25" hidden="1" x14ac:dyDescent="0.25">
      <c r="B395" s="117" t="str">
        <f t="shared" si="174"/>
        <v>Terminal risk free rate</v>
      </c>
      <c r="C395" s="60">
        <f t="shared" si="175"/>
        <v>13</v>
      </c>
      <c r="D395" s="60">
        <v>67.222852293098114</v>
      </c>
      <c r="E395" s="60" t="str">
        <v/>
      </c>
      <c r="F395" s="220">
        <f t="shared" si="164"/>
        <v>0</v>
      </c>
      <c r="G395" s="60">
        <f t="shared" si="176"/>
        <v>-10.116026276339781</v>
      </c>
      <c r="H395" s="60">
        <f t="shared" si="177"/>
        <v>1</v>
      </c>
      <c r="I395" s="60">
        <f>SUM(H$384:H395)</f>
        <v>7</v>
      </c>
      <c r="J395" s="60" t="e">
        <f t="shared" si="178"/>
        <v>#N/A</v>
      </c>
      <c r="K395" s="60" t="str">
        <f t="shared" ca="1" si="167"/>
        <v/>
      </c>
      <c r="L395" s="60"/>
      <c r="M395" s="60"/>
      <c r="N395" s="60" t="str">
        <f t="shared" ca="1" si="179"/>
        <v/>
      </c>
      <c r="O395" s="60"/>
      <c r="P395" s="117" t="e">
        <f t="shared" ca="1" si="182"/>
        <v>#VALUE!</v>
      </c>
      <c r="Q395" s="180" t="str">
        <f t="shared" ca="1" si="183"/>
        <v/>
      </c>
      <c r="R395" s="117" t="e">
        <f t="shared" ca="1" si="165"/>
        <v>#VALUE!</v>
      </c>
      <c r="S395" s="180" t="str">
        <f t="shared" ca="1" si="166"/>
        <v/>
      </c>
      <c r="T395" s="117" t="e">
        <f t="shared" ca="1" si="181"/>
        <v>#VALUE!</v>
      </c>
      <c r="U395" s="180" t="e">
        <f t="shared" ca="1" si="169"/>
        <v>#VALUE!</v>
      </c>
      <c r="V395" s="117" t="e">
        <f t="shared" ca="1" si="170"/>
        <v>#VALUE!</v>
      </c>
      <c r="W395" s="60" t="e">
        <f t="shared" ca="1" si="171"/>
        <v>#VALUE!</v>
      </c>
      <c r="X395" s="60" t="e">
        <f t="shared" ca="1" si="172"/>
        <v>#VALUE!</v>
      </c>
      <c r="Y395" s="180" t="e">
        <f t="shared" ca="1" si="173"/>
        <v>#VALUE!</v>
      </c>
    </row>
    <row r="396" spans="2:25" hidden="1" x14ac:dyDescent="0.25">
      <c r="B396" s="117" t="str">
        <f t="shared" si="174"/>
        <v>Terminal equity margin</v>
      </c>
      <c r="C396" s="60">
        <f t="shared" si="175"/>
        <v>14</v>
      </c>
      <c r="D396" s="60">
        <v>67.222852293098114</v>
      </c>
      <c r="E396" s="60" t="str">
        <v/>
      </c>
      <c r="F396" s="220">
        <f t="shared" si="164"/>
        <v>0</v>
      </c>
      <c r="G396" s="60">
        <f t="shared" si="176"/>
        <v>0</v>
      </c>
      <c r="H396" s="60">
        <f t="shared" si="177"/>
        <v>0</v>
      </c>
      <c r="I396" s="60">
        <f>SUM(H$384:H396)</f>
        <v>7</v>
      </c>
      <c r="J396" s="60" t="e">
        <f t="shared" si="178"/>
        <v>#N/A</v>
      </c>
      <c r="K396" s="60" t="str">
        <f t="shared" ca="1" si="167"/>
        <v/>
      </c>
      <c r="L396" s="60"/>
      <c r="M396" s="60"/>
      <c r="N396" s="60" t="str">
        <f t="shared" ca="1" si="179"/>
        <v/>
      </c>
      <c r="O396" s="60"/>
      <c r="P396" s="117" t="e">
        <f t="shared" ca="1" si="182"/>
        <v>#VALUE!</v>
      </c>
      <c r="Q396" s="180" t="str">
        <f t="shared" ca="1" si="183"/>
        <v/>
      </c>
      <c r="R396" s="117" t="e">
        <f t="shared" ca="1" si="165"/>
        <v>#VALUE!</v>
      </c>
      <c r="S396" s="180" t="str">
        <f t="shared" ca="1" si="166"/>
        <v/>
      </c>
      <c r="T396" s="117" t="e">
        <f t="shared" ca="1" si="181"/>
        <v>#VALUE!</v>
      </c>
      <c r="U396" s="180" t="e">
        <f t="shared" ca="1" si="169"/>
        <v>#VALUE!</v>
      </c>
      <c r="V396" s="117" t="e">
        <f t="shared" ca="1" si="170"/>
        <v>#VALUE!</v>
      </c>
      <c r="W396" s="60" t="e">
        <f t="shared" ca="1" si="171"/>
        <v>#VALUE!</v>
      </c>
      <c r="X396" s="60" t="e">
        <f t="shared" ca="1" si="172"/>
        <v>#VALUE!</v>
      </c>
      <c r="Y396" s="180" t="e">
        <f t="shared" ca="1" si="173"/>
        <v>#VALUE!</v>
      </c>
    </row>
    <row r="397" spans="2:25" hidden="1" x14ac:dyDescent="0.25">
      <c r="B397" s="117" t="str">
        <f t="shared" si="174"/>
        <v>Terminal growth rate</v>
      </c>
      <c r="C397" s="60">
        <f t="shared" si="175"/>
        <v>15</v>
      </c>
      <c r="D397" s="60">
        <v>66.980109396870191</v>
      </c>
      <c r="E397" s="60" t="str">
        <v/>
      </c>
      <c r="F397" s="220">
        <f t="shared" si="164"/>
        <v>0</v>
      </c>
      <c r="G397" s="60">
        <f t="shared" si="176"/>
        <v>-0.24274289622792367</v>
      </c>
      <c r="H397" s="60">
        <f t="shared" si="177"/>
        <v>0</v>
      </c>
      <c r="I397" s="60">
        <f>SUM(H$384:H397)</f>
        <v>7</v>
      </c>
      <c r="J397" s="60" t="e">
        <f t="shared" si="178"/>
        <v>#N/A</v>
      </c>
      <c r="K397" s="60" t="str">
        <f t="shared" ca="1" si="167"/>
        <v/>
      </c>
      <c r="L397" s="60"/>
      <c r="M397" s="60"/>
      <c r="N397" s="60" t="str">
        <f t="shared" ca="1" si="179"/>
        <v/>
      </c>
      <c r="O397" s="60"/>
      <c r="P397" s="117" t="e">
        <f t="shared" ca="1" si="182"/>
        <v>#VALUE!</v>
      </c>
      <c r="Q397" s="180" t="str">
        <f t="shared" ca="1" si="183"/>
        <v/>
      </c>
      <c r="R397" s="117" t="e">
        <f t="shared" ca="1" si="165"/>
        <v>#VALUE!</v>
      </c>
      <c r="S397" s="180" t="str">
        <f t="shared" ca="1" si="166"/>
        <v/>
      </c>
      <c r="T397" s="117" t="e">
        <f t="shared" ca="1" si="181"/>
        <v>#VALUE!</v>
      </c>
      <c r="U397" s="180" t="e">
        <f t="shared" ca="1" si="169"/>
        <v>#VALUE!</v>
      </c>
      <c r="V397" s="117" t="e">
        <f t="shared" ca="1" si="170"/>
        <v>#VALUE!</v>
      </c>
      <c r="W397" s="60" t="e">
        <f t="shared" ca="1" si="171"/>
        <v>#VALUE!</v>
      </c>
      <c r="X397" s="60" t="e">
        <f t="shared" ca="1" si="172"/>
        <v>#VALUE!</v>
      </c>
      <c r="Y397" s="180" t="e">
        <f t="shared" ca="1" si="173"/>
        <v>#VALUE!</v>
      </c>
    </row>
    <row r="398" spans="2:25" ht="13" hidden="1" thickBot="1" x14ac:dyDescent="0.3">
      <c r="B398" s="117" t="s">
        <v>333</v>
      </c>
      <c r="C398" s="60">
        <f t="shared" si="175"/>
        <v>16</v>
      </c>
      <c r="D398" s="60">
        <v>66.980109396870134</v>
      </c>
      <c r="E398" s="60" t="str">
        <v/>
      </c>
      <c r="F398" s="220">
        <f t="shared" si="164"/>
        <v>0</v>
      </c>
      <c r="G398" s="60">
        <f t="shared" si="176"/>
        <v>0</v>
      </c>
      <c r="H398" s="60">
        <f t="shared" si="177"/>
        <v>0</v>
      </c>
      <c r="I398" s="60">
        <f>SUM(H$384:H398)</f>
        <v>7</v>
      </c>
      <c r="J398" s="60" t="e">
        <f t="shared" si="178"/>
        <v>#N/A</v>
      </c>
      <c r="K398" s="60" t="str">
        <f t="shared" ca="1" si="167"/>
        <v/>
      </c>
      <c r="L398" s="60"/>
      <c r="M398" s="60"/>
      <c r="N398" s="60" t="str">
        <f t="shared" ca="1" si="179"/>
        <v/>
      </c>
      <c r="O398" s="60"/>
      <c r="P398" s="122" t="e">
        <f t="shared" ca="1" si="182"/>
        <v>#VALUE!</v>
      </c>
      <c r="Q398" s="193" t="str">
        <f t="shared" ca="1" si="183"/>
        <v/>
      </c>
      <c r="R398" s="122" t="e">
        <f t="shared" ca="1" si="165"/>
        <v>#VALUE!</v>
      </c>
      <c r="S398" s="193" t="str">
        <f t="shared" ca="1" si="166"/>
        <v/>
      </c>
      <c r="T398" s="122" t="e">
        <f t="shared" ca="1" si="181"/>
        <v>#VALUE!</v>
      </c>
      <c r="U398" s="193" t="e">
        <f t="shared" ca="1" si="169"/>
        <v>#VALUE!</v>
      </c>
      <c r="V398" s="122" t="e">
        <f t="shared" ca="1" si="170"/>
        <v>#VALUE!</v>
      </c>
      <c r="W398" s="192" t="e">
        <f t="shared" ca="1" si="171"/>
        <v>#VALUE!</v>
      </c>
      <c r="X398" s="192" t="e">
        <f t="shared" ca="1" si="172"/>
        <v>#VALUE!</v>
      </c>
      <c r="Y398" s="193" t="e">
        <f t="shared" ca="1" si="173"/>
        <v>#VALUE!</v>
      </c>
    </row>
    <row r="399" spans="2:25" hidden="1" x14ac:dyDescent="0.25">
      <c r="B399" s="117"/>
      <c r="C399" s="60"/>
      <c r="D399" s="60"/>
      <c r="E399" s="60"/>
      <c r="F399" s="60"/>
      <c r="G399" s="60"/>
      <c r="H399" s="60"/>
      <c r="I399" s="60" t="s">
        <v>353</v>
      </c>
      <c r="J399" s="30" t="e">
        <f t="shared" si="178"/>
        <v>#N/A</v>
      </c>
      <c r="K399" s="60" t="str">
        <f ca="1">IF(ISNA(J399),IF(NOT(ISNA(J398)),"Scenario 2",""),OFFSET($B$383,J399,0))</f>
        <v/>
      </c>
      <c r="L399" s="60"/>
      <c r="M399" s="60"/>
      <c r="N399" s="60"/>
      <c r="O399" s="60"/>
      <c r="P399" s="60"/>
      <c r="Q399" s="60"/>
      <c r="R399" s="60"/>
      <c r="S399" s="60"/>
      <c r="T399" s="60"/>
      <c r="U399" s="60"/>
      <c r="V399" s="60"/>
      <c r="W399" s="60"/>
      <c r="X399" s="60"/>
      <c r="Y399" s="180"/>
    </row>
    <row r="400" spans="2:25" hidden="1" x14ac:dyDescent="0.25">
      <c r="B400" s="117"/>
      <c r="C400" s="60"/>
      <c r="D400" s="60"/>
      <c r="E400" s="60"/>
      <c r="F400" s="60" t="e">
        <f>MATCH(1,F381:F398,0)</f>
        <v>#N/A</v>
      </c>
      <c r="G400" s="60"/>
      <c r="H400" s="60"/>
      <c r="I400" s="60"/>
      <c r="J400" s="60"/>
      <c r="K400" s="60"/>
      <c r="L400" s="60"/>
      <c r="M400" s="60"/>
      <c r="N400" s="60"/>
      <c r="O400" s="60"/>
      <c r="P400" s="60"/>
      <c r="Q400" s="60"/>
      <c r="R400" s="60"/>
      <c r="S400" s="60"/>
      <c r="T400" s="60"/>
      <c r="U400" s="60"/>
      <c r="V400" s="60"/>
      <c r="W400" s="60"/>
      <c r="X400" s="60"/>
      <c r="Y400" s="180"/>
    </row>
    <row r="401" spans="2:25" hidden="1" x14ac:dyDescent="0.25">
      <c r="B401" s="117" t="s">
        <v>362</v>
      </c>
      <c r="C401" s="60"/>
      <c r="D401" s="60"/>
      <c r="E401" s="60"/>
      <c r="F401" s="206" t="str">
        <f ca="1">IF(NOT(ISERROR(F400)),main_page_error &amp; " when processing " &amp; LOWER(OFFSET(B382,F400-1,0)) &amp;". " &amp; the_error_was  &amp; OFFSET(E382,F400-1,0),"")</f>
        <v/>
      </c>
      <c r="G401" s="60"/>
      <c r="H401" s="60"/>
      <c r="I401" s="60"/>
      <c r="J401" s="60"/>
      <c r="K401" s="60"/>
      <c r="L401" s="60"/>
      <c r="M401" s="60"/>
      <c r="N401" s="60"/>
      <c r="O401" s="60"/>
      <c r="P401" s="60"/>
      <c r="Q401" s="60"/>
      <c r="R401" s="60"/>
      <c r="S401" s="60"/>
      <c r="T401" s="60"/>
      <c r="U401" s="60"/>
      <c r="V401" s="60"/>
      <c r="W401" s="60"/>
      <c r="X401" s="60"/>
      <c r="Y401" s="180"/>
    </row>
    <row r="402" spans="2:25" hidden="1" x14ac:dyDescent="0.25">
      <c r="B402" s="117"/>
      <c r="C402" s="60"/>
      <c r="D402" s="60"/>
      <c r="E402" s="60"/>
      <c r="F402" s="60"/>
      <c r="G402" s="60"/>
      <c r="H402" s="60"/>
      <c r="I402" s="60"/>
      <c r="J402" s="60"/>
      <c r="K402" s="60"/>
      <c r="L402" s="60"/>
      <c r="M402" s="60"/>
      <c r="N402" s="60"/>
      <c r="O402" s="60"/>
      <c r="P402" s="60"/>
      <c r="Q402" s="60"/>
      <c r="R402" s="60"/>
      <c r="S402" s="60"/>
      <c r="T402" s="60"/>
      <c r="U402" s="60"/>
      <c r="V402" s="60"/>
      <c r="W402" s="60"/>
      <c r="X402" s="60"/>
      <c r="Y402" s="180"/>
    </row>
    <row r="403" spans="2:25" ht="13" hidden="1" thickBot="1" x14ac:dyDescent="0.3">
      <c r="B403" s="122"/>
      <c r="C403" s="192"/>
      <c r="D403" s="192"/>
      <c r="E403" s="192"/>
      <c r="F403" s="192"/>
      <c r="G403" s="192"/>
      <c r="H403" s="192"/>
      <c r="I403" s="192"/>
      <c r="J403" s="192"/>
      <c r="K403" s="192"/>
      <c r="L403" s="192"/>
      <c r="M403" s="192"/>
      <c r="N403" s="192"/>
      <c r="O403" s="192"/>
      <c r="P403" s="192"/>
      <c r="Q403" s="192"/>
      <c r="R403" s="192"/>
      <c r="S403" s="192"/>
      <c r="T403" s="192"/>
      <c r="U403" s="192"/>
      <c r="V403" s="192"/>
      <c r="W403" s="192"/>
      <c r="X403" s="192"/>
      <c r="Y403" s="193"/>
    </row>
  </sheetData>
  <sheetProtection algorithmName="SHA-512" hashValue="yvnaFiUUBkyV6V6O7YNSLOIPyqnijN4MdH7znm9DNJ8uIvYNtdGd28cFIZghiW5hgNeMOiePnm2793kf6efjYw==" saltValue="xtQZsgjx2tq+jZAGEI43bg==" spinCount="100000" sheet="1" objects="1" scenarios="1"/>
  <mergeCells count="20">
    <mergeCell ref="T381:U381"/>
    <mergeCell ref="R381:S381"/>
    <mergeCell ref="O1:P1"/>
    <mergeCell ref="B3:P3"/>
    <mergeCell ref="E21:N26"/>
    <mergeCell ref="B13:B19"/>
    <mergeCell ref="F13:G13"/>
    <mergeCell ref="F1:I1"/>
    <mergeCell ref="I4:J4"/>
    <mergeCell ref="C4:D4"/>
    <mergeCell ref="C13:D13"/>
    <mergeCell ref="F4:G4"/>
    <mergeCell ref="B332:M332"/>
    <mergeCell ref="I13:J13"/>
    <mergeCell ref="C142:M144"/>
    <mergeCell ref="F146:H146"/>
    <mergeCell ref="B128:P129"/>
    <mergeCell ref="C149:D149"/>
    <mergeCell ref="B158:B164"/>
    <mergeCell ref="C158:D158"/>
  </mergeCells>
  <phoneticPr fontId="4" type="noConversion"/>
  <conditionalFormatting sqref="C77:P77">
    <cfRule type="expression" dxfId="18" priority="1" stopIfTrue="1">
      <formula>(C$29&lt;3)</formula>
    </cfRule>
  </conditionalFormatting>
  <conditionalFormatting sqref="C28:P28 C32:P38 C103:P105 C46:P46 C61:P61 C80:P80 C101:P101 C131:P131 C48:P50 C53:P53 C55:P55 C57:P57 C59:P59 C64:P64 C66:P66 C69:P69 C71:P71 C74:P74 C76:P76 C78:P78 C82:P82 C84:P84 C87:P87 C89:P89 C92:P92 C94:P94 C97:P97 C99:P99 C124:P126 C108:P109 C111:P111 C117:P121 C41:C44 D41:P43 D44:Q44">
    <cfRule type="expression" dxfId="17" priority="2" stopIfTrue="1">
      <formula>C$29=3</formula>
    </cfRule>
  </conditionalFormatting>
  <conditionalFormatting sqref="C54:P54 C56:P56 C58:P58 C65:P65 C70:P70 C75:P75 C83:P83 C88:P88 C93:P93 C98:P98 C110:P110">
    <cfRule type="expression" dxfId="16" priority="3" stopIfTrue="1">
      <formula>(C$29&lt;3)</formula>
    </cfRule>
    <cfRule type="expression" dxfId="15" priority="4" stopIfTrue="1">
      <formula>(C$29=3)</formula>
    </cfRule>
  </conditionalFormatting>
  <conditionalFormatting sqref="B3:P3">
    <cfRule type="expression" dxfId="14" priority="11" stopIfTrue="1">
      <formula>LEN($B$3)&gt;0</formula>
    </cfRule>
  </conditionalFormatting>
  <conditionalFormatting sqref="C29:P29">
    <cfRule type="cellIs" dxfId="13" priority="12" stopIfTrue="1" operator="equal">
      <formula>3</formula>
    </cfRule>
  </conditionalFormatting>
  <conditionalFormatting sqref="I5:J5 I13:J14">
    <cfRule type="expression" dxfId="12" priority="19" stopIfTrue="1">
      <formula>$I$4&lt;&gt;$C$25</formula>
    </cfRule>
  </conditionalFormatting>
  <conditionalFormatting sqref="F6:G12 F15:G19 F4:G4">
    <cfRule type="expression" dxfId="11" priority="20" stopIfTrue="1">
      <formula>$F$4=$C$25</formula>
    </cfRule>
    <cfRule type="expression" dxfId="10" priority="21" stopIfTrue="1">
      <formula>$F$4&lt;&gt;$C$25</formula>
    </cfRule>
  </conditionalFormatting>
  <conditionalFormatting sqref="F5:G5 F13:G14">
    <cfRule type="expression" dxfId="9" priority="22" stopIfTrue="1">
      <formula>$F$4&lt;&gt;$C$25</formula>
    </cfRule>
  </conditionalFormatting>
  <conditionalFormatting sqref="I4:J4 I6:J12 I15:J19">
    <cfRule type="expression" dxfId="8" priority="23" stopIfTrue="1">
      <formula>$I$4=$C$25</formula>
    </cfRule>
    <cfRule type="expression" dxfId="7" priority="24" stopIfTrue="1">
      <formula>$I$4&lt;&gt;$C$25</formula>
    </cfRule>
  </conditionalFormatting>
  <dataValidations count="14">
    <dataValidation allowBlank="1" showInputMessage="1" showErrorMessage="1" errorTitle="Invalid input" error="This cannot be less than -20%" sqref="J190" xr:uid="{00000000-0002-0000-0100-000000000000}"/>
    <dataValidation type="list" allowBlank="1" showInputMessage="1" showErrorMessage="1" sqref="C25" xr:uid="{00000000-0002-0000-0100-000001000000}">
      <formula1>"1,2"</formula1>
    </dataValidation>
    <dataValidation type="list" allowBlank="1" showInputMessage="1" showErrorMessage="1" sqref="C23:C24" xr:uid="{00000000-0002-0000-0100-000002000000}">
      <formula1>"1,2,3,4,5,6,7"</formula1>
    </dataValidation>
    <dataValidation type="decimal" showInputMessage="1" showErrorMessage="1" error="Must be between 0% and 15%" sqref="G15:G19 J15:J19" xr:uid="{00000000-0002-0000-0100-000003000000}">
      <formula1>0</formula1>
      <formula2>0.15</formula2>
    </dataValidation>
    <dataValidation operator="greaterThanOrEqual" showInputMessage="1" showErrorMessage="1" errorTitle="Invalid input" error="This cannot be less than -20%" sqref="F13:G13 I13:J13" xr:uid="{00000000-0002-0000-0100-000004000000}"/>
    <dataValidation type="decimal" allowBlank="1" showInputMessage="1" showErrorMessage="1" error="This must be between 1 and 10,000" sqref="C21" xr:uid="{00000000-0002-0000-0100-000005000000}">
      <formula1>1</formula1>
      <formula2>10000</formula2>
    </dataValidation>
    <dataValidation type="whole" operator="greaterThanOrEqual" allowBlank="1" showInputMessage="1" showErrorMessage="1" error="This must be a whole number and cannot be less than zero" sqref="C22" xr:uid="{00000000-0002-0000-0100-000006000000}">
      <formula1>0</formula1>
    </dataValidation>
    <dataValidation type="decimal" showInputMessage="1" showErrorMessage="1" error="Must be between -20% and 40%" sqref="F12:G12 I12:J12" xr:uid="{00000000-0002-0000-0100-000007000000}">
      <formula1>-0.2</formula1>
      <formula2>0.4</formula2>
    </dataValidation>
    <dataValidation type="decimal" showInputMessage="1" showErrorMessage="1" error="Must be between 0% and 90%" sqref="F9:G9 F7:G7 I9:J9 I7:J7" xr:uid="{00000000-0002-0000-0100-000008000000}">
      <formula1>0</formula1>
      <formula2>0.9</formula2>
    </dataValidation>
    <dataValidation type="decimal" showInputMessage="1" showErrorMessage="1" error="Must be between 1% and 20%" sqref="F10:G10 I10:J10" xr:uid="{00000000-0002-0000-0100-000009000000}">
      <formula1>0.01</formula1>
      <formula2>0.2</formula2>
    </dataValidation>
    <dataValidation type="decimal" showInputMessage="1" showErrorMessage="1" error="Must be between 3% and 25%" sqref="F11:G11 I11:J11" xr:uid="{00000000-0002-0000-0100-00000A000000}">
      <formula1>0.03</formula1>
      <formula2>0.25</formula2>
    </dataValidation>
    <dataValidation type="decimal" showInputMessage="1" showErrorMessage="1" error="Must be between -20% and +40%" sqref="F6:G6 I6:J6" xr:uid="{00000000-0002-0000-0100-00000B000000}">
      <formula1>-0.2</formula1>
      <formula2>0.4</formula2>
    </dataValidation>
    <dataValidation type="decimal" showInputMessage="1" showErrorMessage="1" error="Must be between 0% and 20%" sqref="F8:G8 I8:J8" xr:uid="{00000000-0002-0000-0100-00000C000000}">
      <formula1>0</formula1>
      <formula2>0.2</formula2>
    </dataValidation>
    <dataValidation type="decimal" allowBlank="1" showInputMessage="1" showErrorMessage="1" error="Must be between 1 and 5" sqref="F19 I19" xr:uid="{00000000-0002-0000-0100-00000D000000}">
      <formula1>1</formula1>
      <formula2>5</formula2>
    </dataValidation>
  </dataValidations>
  <hyperlinks>
    <hyperlink ref="F146" r:id="rId1" xr:uid="{00000000-0004-0000-0100-000000000000}"/>
    <hyperlink ref="F146:H146" r:id="rId2" display="www.tykoh.com" xr:uid="{00000000-0004-0000-0100-000001000000}"/>
    <hyperlink ref="O1:P1" r:id="rId3" display="User guide" xr:uid="{00000000-0004-0000-0100-000002000000}"/>
    <hyperlink ref="B1" location="Introduction!A1" display="Introduction" xr:uid="{00000000-0004-0000-0100-000003000000}"/>
  </hyperlinks>
  <pageMargins left="0.75" right="0.75" top="1" bottom="1" header="0.5" footer="0.5"/>
  <pageSetup paperSize="9" orientation="portrait" r:id="rId4"/>
  <headerFooter alignWithMargins="0"/>
  <drawing r:id="rId5"/>
  <legacy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Q88"/>
  <sheetViews>
    <sheetView showGridLines="0" showRowColHeaders="0" workbookViewId="0"/>
  </sheetViews>
  <sheetFormatPr defaultColWidth="0" defaultRowHeight="12.5" zeroHeight="1" x14ac:dyDescent="0.25"/>
  <cols>
    <col min="1" max="1" width="1.7265625" style="24" customWidth="1"/>
    <col min="2" max="2" width="23.453125" style="24" customWidth="1"/>
    <col min="3" max="16" width="9.1796875" style="24" customWidth="1"/>
    <col min="17" max="17" width="1.7265625" style="24" customWidth="1"/>
    <col min="18" max="16384" width="0" style="24" hidden="1"/>
  </cols>
  <sheetData>
    <row r="1" spans="2:16" ht="12.75" customHeight="1" thickTop="1" thickBot="1" x14ac:dyDescent="0.3">
      <c r="B1" s="297" t="str">
        <f>Main!B1</f>
        <v>Introduction</v>
      </c>
      <c r="F1" s="433" t="str">
        <f>Main!F1</f>
        <v>Tykoh Valuation Model (^)</v>
      </c>
      <c r="G1" s="433"/>
      <c r="H1" s="433"/>
      <c r="I1" s="433"/>
      <c r="J1" s="298" t="str">
        <f>Main!J1</f>
        <v>v1.1</v>
      </c>
      <c r="O1" s="482" t="str">
        <f>Main!O1</f>
        <v>User guide</v>
      </c>
      <c r="P1" s="435"/>
    </row>
    <row r="2" spans="2:16" ht="13" thickTop="1" x14ac:dyDescent="0.25">
      <c r="B2" s="437" t="str">
        <f ca="1">IF(LEN(Main!B3)&gt;0,main_page_error &amp; ". " &amp; the_error_was  &amp; Main!B3,"")</f>
        <v/>
      </c>
      <c r="C2" s="437"/>
      <c r="D2" s="437"/>
      <c r="E2" s="437"/>
      <c r="F2" s="437"/>
      <c r="G2" s="437"/>
      <c r="H2" s="437"/>
      <c r="I2" s="437"/>
      <c r="J2" s="437"/>
      <c r="K2" s="437"/>
      <c r="L2" s="437"/>
      <c r="M2" s="437"/>
      <c r="N2" s="437"/>
      <c r="O2" s="437"/>
    </row>
    <row r="3" spans="2:16" x14ac:dyDescent="0.25">
      <c r="B3" s="437"/>
      <c r="C3" s="437"/>
      <c r="D3" s="437"/>
      <c r="E3" s="437"/>
      <c r="F3" s="437"/>
      <c r="G3" s="437"/>
      <c r="H3" s="437"/>
      <c r="I3" s="437"/>
      <c r="J3" s="437"/>
      <c r="K3" s="437"/>
      <c r="L3" s="437"/>
      <c r="M3" s="437"/>
      <c r="N3" s="437"/>
      <c r="O3" s="437"/>
    </row>
    <row r="4" spans="2:16" ht="13" x14ac:dyDescent="0.25">
      <c r="B4" s="506" t="s">
        <v>180</v>
      </c>
      <c r="C4" s="507"/>
      <c r="D4" s="508"/>
      <c r="E4" s="299"/>
      <c r="G4" s="509" t="s">
        <v>206</v>
      </c>
      <c r="H4" s="510"/>
      <c r="I4" s="510"/>
      <c r="J4" s="510"/>
      <c r="K4" s="510"/>
      <c r="L4" s="510"/>
      <c r="M4" s="510"/>
      <c r="N4" s="510"/>
      <c r="O4" s="511"/>
    </row>
    <row r="5" spans="2:16" s="303" customFormat="1" ht="13.5" customHeight="1" x14ac:dyDescent="0.25">
      <c r="B5" s="300" t="str">
        <f>Main!B5</f>
        <v>Phase</v>
      </c>
      <c r="C5" s="301" t="str">
        <f>PROPER(initial)</f>
        <v>Initial</v>
      </c>
      <c r="D5" s="302" t="str">
        <f>PROPER(final)</f>
        <v>Terminal</v>
      </c>
      <c r="E5" s="80"/>
      <c r="G5" s="504">
        <v>1</v>
      </c>
      <c r="H5" s="499"/>
      <c r="I5" s="495" t="s">
        <v>21</v>
      </c>
      <c r="J5" s="496"/>
      <c r="K5" s="497"/>
      <c r="L5" s="304"/>
      <c r="M5" s="304"/>
      <c r="N5" s="304"/>
      <c r="O5" s="305"/>
    </row>
    <row r="6" spans="2:16" ht="13.5" customHeight="1" x14ac:dyDescent="0.25">
      <c r="B6" s="306" t="str">
        <f>Main!B6</f>
        <v>Return on capital</v>
      </c>
      <c r="C6" s="307">
        <f ca="1">Main!$C$6</f>
        <v>0.12</v>
      </c>
      <c r="D6" s="308">
        <f ca="1">Main!$D$6</f>
        <v>0.1</v>
      </c>
      <c r="G6" s="504">
        <f>G5+1</f>
        <v>2</v>
      </c>
      <c r="H6" s="499"/>
      <c r="I6" s="495" t="s">
        <v>22</v>
      </c>
      <c r="J6" s="496"/>
      <c r="K6" s="497"/>
      <c r="L6" s="309"/>
      <c r="M6" s="309"/>
      <c r="N6" s="309"/>
      <c r="O6" s="310"/>
    </row>
    <row r="7" spans="2:16" ht="13.5" customHeight="1" x14ac:dyDescent="0.25">
      <c r="B7" s="306" t="str">
        <f>Main!B7</f>
        <v>Debt / equity ratio</v>
      </c>
      <c r="C7" s="307">
        <f ca="1">Main!$C$7</f>
        <v>0.5</v>
      </c>
      <c r="D7" s="308">
        <f ca="1">Main!$D$7</f>
        <v>0.1</v>
      </c>
      <c r="G7" s="504">
        <f>G6+1</f>
        <v>3</v>
      </c>
      <c r="H7" s="499"/>
      <c r="I7" s="515" t="s">
        <v>215</v>
      </c>
      <c r="J7" s="516"/>
      <c r="K7" s="517"/>
      <c r="L7" s="309"/>
      <c r="M7" s="309"/>
      <c r="N7" s="309"/>
      <c r="O7" s="310"/>
    </row>
    <row r="8" spans="2:16" x14ac:dyDescent="0.25">
      <c r="B8" s="306" t="str">
        <f>Main!B8</f>
        <v>Depreciation rate</v>
      </c>
      <c r="C8" s="307">
        <f ca="1">Main!$C$8</f>
        <v>0.02</v>
      </c>
      <c r="D8" s="308">
        <f ca="1">Main!$D$8</f>
        <v>0.02</v>
      </c>
      <c r="G8" s="311"/>
      <c r="H8" s="312" t="str">
        <f ca="1">OFFSET($I$8,MATCH(I5,$J$8:$J$18,0)-1,0)</f>
        <v>row_roc</v>
      </c>
      <c r="I8" s="312" t="s">
        <v>72</v>
      </c>
      <c r="J8" s="312" t="str">
        <f t="shared" ref="J8:J23" ca="1" si="0">INDIRECT(I8)</f>
        <v>Cost of capital [WACC]</v>
      </c>
      <c r="K8" s="312"/>
      <c r="L8" s="312"/>
      <c r="M8" s="312"/>
      <c r="N8" s="312"/>
      <c r="O8" s="313"/>
    </row>
    <row r="9" spans="2:16" x14ac:dyDescent="0.25">
      <c r="B9" s="306" t="str">
        <f>Main!B9</f>
        <v>Tax rate</v>
      </c>
      <c r="C9" s="307">
        <f ca="1">Main!C9</f>
        <v>0.3</v>
      </c>
      <c r="D9" s="308">
        <f ca="1">Main!$D$9</f>
        <v>0.3</v>
      </c>
      <c r="G9" s="311"/>
      <c r="H9" s="312" t="str">
        <f ca="1">OFFSET($I$8,MATCH(I6,$J$8:$J$18,0)-1,0)</f>
        <v>row_coe</v>
      </c>
      <c r="I9" s="312" t="s">
        <v>74</v>
      </c>
      <c r="J9" s="312" t="str">
        <f t="shared" ca="1" si="0"/>
        <v>Cost of debt (post-tax)</v>
      </c>
      <c r="K9" s="312"/>
      <c r="L9" s="312"/>
      <c r="M9" s="312"/>
      <c r="N9" s="312"/>
      <c r="O9" s="313"/>
    </row>
    <row r="10" spans="2:16" x14ac:dyDescent="0.25">
      <c r="B10" s="306" t="str">
        <f>Main!B10</f>
        <v>Risk free rate</v>
      </c>
      <c r="C10" s="307">
        <f ca="1">Main!$C$10</f>
        <v>0.04</v>
      </c>
      <c r="D10" s="308">
        <f ca="1">Main!$D$10</f>
        <v>0.04</v>
      </c>
      <c r="G10" s="311"/>
      <c r="H10" s="312" t="str">
        <f ca="1">OFFSET($I$8,MATCH(I7,$J$8:$J$18,0)-1,0)</f>
        <v>row_interest_rate</v>
      </c>
      <c r="I10" s="312" t="s">
        <v>52</v>
      </c>
      <c r="J10" s="312" t="str">
        <f t="shared" ca="1" si="0"/>
        <v>Cost of equity</v>
      </c>
      <c r="K10" s="312"/>
      <c r="L10" s="312"/>
      <c r="M10" s="312"/>
      <c r="N10" s="312"/>
      <c r="O10" s="313"/>
    </row>
    <row r="11" spans="2:16" x14ac:dyDescent="0.25">
      <c r="B11" s="314" t="str">
        <f>Main!B11</f>
        <v>Equity margin</v>
      </c>
      <c r="C11" s="315">
        <f ca="1">Main!$C$11</f>
        <v>7.0000000000000007E-2</v>
      </c>
      <c r="D11" s="316">
        <f ca="1">Main!$D$11</f>
        <v>7.0000000000000007E-2</v>
      </c>
      <c r="G11" s="311"/>
      <c r="H11" s="312"/>
      <c r="I11" s="312" t="s">
        <v>51</v>
      </c>
      <c r="J11" s="312" t="str">
        <f t="shared" ca="1" si="0"/>
        <v>Growth rate</v>
      </c>
      <c r="K11" s="312"/>
      <c r="L11" s="312"/>
      <c r="M11" s="312"/>
      <c r="N11" s="312"/>
      <c r="O11" s="313"/>
    </row>
    <row r="12" spans="2:16" x14ac:dyDescent="0.25">
      <c r="B12" s="306" t="str">
        <f>Main!B12</f>
        <v>Growth rate</v>
      </c>
      <c r="C12" s="317">
        <f ca="1">Main!$C$12</f>
        <v>0.05</v>
      </c>
      <c r="D12" s="318">
        <f ca="1">Main!$D$12</f>
        <v>0.02</v>
      </c>
      <c r="G12" s="311"/>
      <c r="H12" s="312"/>
      <c r="I12" s="312" t="s">
        <v>47</v>
      </c>
      <c r="J12" s="312" t="str">
        <f t="shared" ca="1" si="0"/>
        <v>Return on capital</v>
      </c>
      <c r="K12" s="312"/>
      <c r="L12" s="312"/>
      <c r="M12" s="312"/>
      <c r="N12" s="312"/>
      <c r="O12" s="313"/>
    </row>
    <row r="13" spans="2:16" ht="25" x14ac:dyDescent="0.25">
      <c r="B13" s="512" t="str">
        <f>Main!B13</f>
        <v>Coverage ratio / interest margin</v>
      </c>
      <c r="C13" s="319" t="str">
        <f>Main!C14</f>
        <v>Coverage ratio</v>
      </c>
      <c r="D13" s="320" t="str">
        <f>Main!D14</f>
        <v>Interest margin</v>
      </c>
      <c r="G13" s="311"/>
      <c r="H13" s="312"/>
      <c r="I13" s="312" t="s">
        <v>73</v>
      </c>
      <c r="J13" s="312" t="str">
        <f t="shared" ca="1" si="0"/>
        <v>Return on equity</v>
      </c>
      <c r="K13" s="312"/>
      <c r="L13" s="312"/>
      <c r="M13" s="312"/>
      <c r="N13" s="312"/>
      <c r="O13" s="313"/>
    </row>
    <row r="14" spans="2:16" x14ac:dyDescent="0.25">
      <c r="B14" s="513"/>
      <c r="C14" s="321">
        <f ca="1">Main!C15</f>
        <v>7.5</v>
      </c>
      <c r="D14" s="322">
        <f ca="1">Main!$D$15</f>
        <v>5.0000000000000001E-3</v>
      </c>
      <c r="G14" s="311"/>
      <c r="H14" s="312"/>
      <c r="I14" s="312" t="s">
        <v>50</v>
      </c>
      <c r="J14" s="312" t="str">
        <f t="shared" ca="1" si="0"/>
        <v>Risk free rate</v>
      </c>
      <c r="K14" s="312"/>
      <c r="L14" s="312"/>
      <c r="M14" s="312"/>
      <c r="N14" s="312"/>
      <c r="O14" s="313"/>
    </row>
    <row r="15" spans="2:16" x14ac:dyDescent="0.25">
      <c r="B15" s="513"/>
      <c r="C15" s="321">
        <f ca="1">Main!C16</f>
        <v>6</v>
      </c>
      <c r="D15" s="322">
        <f ca="1">Main!$D$16</f>
        <v>0.01</v>
      </c>
      <c r="G15" s="311"/>
      <c r="H15" s="312"/>
      <c r="I15" s="312" t="s">
        <v>58</v>
      </c>
      <c r="J15" s="312" t="str">
        <f t="shared" ca="1" si="0"/>
        <v>Tax rate</v>
      </c>
      <c r="K15" s="312"/>
      <c r="L15" s="312"/>
      <c r="M15" s="312"/>
      <c r="N15" s="312"/>
      <c r="O15" s="313"/>
    </row>
    <row r="16" spans="2:16" x14ac:dyDescent="0.25">
      <c r="B16" s="513"/>
      <c r="C16" s="321">
        <f ca="1">Main!C17</f>
        <v>4.5</v>
      </c>
      <c r="D16" s="322">
        <f ca="1">Main!$D$17</f>
        <v>0.02</v>
      </c>
      <c r="G16" s="311"/>
      <c r="H16" s="323"/>
      <c r="I16" s="312" t="s">
        <v>287</v>
      </c>
      <c r="J16" s="312" t="str">
        <f t="shared" ca="1" si="0"/>
        <v>User defined calc #1</v>
      </c>
      <c r="K16" s="312"/>
      <c r="L16" s="312"/>
      <c r="M16" s="312"/>
      <c r="N16" s="312"/>
      <c r="O16" s="313"/>
    </row>
    <row r="17" spans="2:17" x14ac:dyDescent="0.25">
      <c r="B17" s="513"/>
      <c r="C17" s="321">
        <f ca="1">Main!C18</f>
        <v>3</v>
      </c>
      <c r="D17" s="322">
        <f ca="1">Main!$D$18</f>
        <v>0.04</v>
      </c>
      <c r="G17" s="311"/>
      <c r="H17" s="323"/>
      <c r="I17" s="312" t="s">
        <v>288</v>
      </c>
      <c r="J17" s="312" t="str">
        <f t="shared" ca="1" si="0"/>
        <v>User defined calc #2</v>
      </c>
      <c r="K17" s="312"/>
      <c r="L17" s="312"/>
      <c r="M17" s="312"/>
      <c r="N17" s="312"/>
      <c r="O17" s="313"/>
    </row>
    <row r="18" spans="2:17" x14ac:dyDescent="0.25">
      <c r="B18" s="514"/>
      <c r="C18" s="324">
        <f ca="1">Main!$C$19</f>
        <v>1.5</v>
      </c>
      <c r="D18" s="325">
        <f ca="1">Main!$D$19</f>
        <v>7.0000000000000007E-2</v>
      </c>
      <c r="G18" s="311"/>
      <c r="H18" s="312"/>
      <c r="I18" s="312" t="s">
        <v>289</v>
      </c>
      <c r="J18" s="312" t="str">
        <f t="shared" ca="1" si="0"/>
        <v>User defined calc #3</v>
      </c>
      <c r="K18" s="312"/>
      <c r="L18" s="312"/>
      <c r="M18" s="312"/>
      <c r="N18" s="312"/>
      <c r="O18" s="313"/>
    </row>
    <row r="19" spans="2:17" x14ac:dyDescent="0.25">
      <c r="B19" s="326"/>
      <c r="C19" s="70"/>
      <c r="D19" s="327"/>
      <c r="G19" s="311"/>
      <c r="H19" s="312"/>
      <c r="I19" s="312" t="s">
        <v>290</v>
      </c>
      <c r="J19" s="312" t="str">
        <f t="shared" ca="1" si="0"/>
        <v>User defined calc #4</v>
      </c>
      <c r="K19" s="312"/>
      <c r="L19" s="312"/>
      <c r="M19" s="312"/>
      <c r="N19" s="312"/>
      <c r="O19" s="313"/>
    </row>
    <row r="20" spans="2:17" x14ac:dyDescent="0.25">
      <c r="B20" s="306" t="str">
        <f>Main!B21</f>
        <v>Assets</v>
      </c>
      <c r="C20" s="328">
        <f>Main!$C$21</f>
        <v>120</v>
      </c>
      <c r="D20" s="327"/>
      <c r="G20" s="311"/>
      <c r="H20" s="312"/>
      <c r="I20" s="312" t="s">
        <v>291</v>
      </c>
      <c r="J20" s="312" t="str">
        <f t="shared" ca="1" si="0"/>
        <v>User defined calc #5</v>
      </c>
      <c r="K20" s="312"/>
      <c r="L20" s="312"/>
      <c r="M20" s="312"/>
      <c r="N20" s="312"/>
      <c r="O20" s="313"/>
    </row>
    <row r="21" spans="2:17" x14ac:dyDescent="0.25">
      <c r="B21" s="306" t="str">
        <f>Main!B22</f>
        <v>Base year</v>
      </c>
      <c r="C21" s="328">
        <f>Main!C22</f>
        <v>2020</v>
      </c>
      <c r="D21" s="327"/>
      <c r="G21" s="311"/>
      <c r="H21" s="312"/>
      <c r="I21" s="312" t="s">
        <v>292</v>
      </c>
      <c r="J21" s="312" t="str">
        <f t="shared" ca="1" si="0"/>
        <v>User defined calc #6</v>
      </c>
      <c r="K21" s="312"/>
      <c r="L21" s="312"/>
      <c r="M21" s="312"/>
      <c r="N21" s="312"/>
      <c r="O21" s="313"/>
    </row>
    <row r="22" spans="2:17" x14ac:dyDescent="0.25">
      <c r="B22" s="306" t="str">
        <f>Main!B23</f>
        <v>Length of initial phase (yrs)</v>
      </c>
      <c r="C22" s="328">
        <f>Main!C23</f>
        <v>3</v>
      </c>
      <c r="D22" s="327"/>
      <c r="G22" s="311"/>
      <c r="H22" s="312"/>
      <c r="I22" s="312" t="s">
        <v>293</v>
      </c>
      <c r="J22" s="312" t="str">
        <f t="shared" ca="1" si="0"/>
        <v>User defined calc #7</v>
      </c>
      <c r="K22" s="312"/>
      <c r="L22" s="312"/>
      <c r="M22" s="312"/>
      <c r="N22" s="312"/>
      <c r="O22" s="313"/>
    </row>
    <row r="23" spans="2:17" x14ac:dyDescent="0.25">
      <c r="B23" s="306" t="str">
        <f>Main!B24</f>
        <v>Length of fade period (yrs)</v>
      </c>
      <c r="C23" s="328">
        <f>Main!C24</f>
        <v>3</v>
      </c>
      <c r="D23" s="327"/>
      <c r="G23" s="311"/>
      <c r="H23" s="312"/>
      <c r="I23" s="312" t="s">
        <v>294</v>
      </c>
      <c r="J23" s="312" t="str">
        <f t="shared" ca="1" si="0"/>
        <v>User defined calc #8</v>
      </c>
      <c r="K23" s="312"/>
      <c r="L23" s="312"/>
      <c r="M23" s="312"/>
      <c r="N23" s="312"/>
      <c r="O23" s="313"/>
    </row>
    <row r="24" spans="2:17" x14ac:dyDescent="0.25">
      <c r="B24" s="329" t="str">
        <f>Main!B25</f>
        <v>Chosen scenario (1 or 2)</v>
      </c>
      <c r="C24" s="330">
        <f>Main!$C$25</f>
        <v>1</v>
      </c>
      <c r="D24" s="331"/>
      <c r="G24" s="332"/>
      <c r="H24" s="333"/>
      <c r="I24" s="333"/>
      <c r="J24" s="333"/>
      <c r="K24" s="333"/>
      <c r="L24" s="333"/>
      <c r="M24" s="333"/>
      <c r="N24" s="333"/>
      <c r="O24" s="334"/>
    </row>
    <row r="25" spans="2:17" ht="13" thickBot="1" x14ac:dyDescent="0.3">
      <c r="B25" s="303"/>
      <c r="C25" s="303"/>
    </row>
    <row r="26" spans="2:17" x14ac:dyDescent="0.25">
      <c r="B26" s="501" t="s">
        <v>207</v>
      </c>
      <c r="C26" s="502"/>
      <c r="D26" s="502"/>
      <c r="E26" s="502"/>
      <c r="F26" s="502"/>
      <c r="G26" s="503"/>
      <c r="I26" s="501" t="s">
        <v>208</v>
      </c>
      <c r="J26" s="502"/>
      <c r="K26" s="502"/>
      <c r="L26" s="502"/>
      <c r="M26" s="502"/>
      <c r="N26" s="502"/>
      <c r="O26" s="502"/>
      <c r="P26" s="505"/>
    </row>
    <row r="27" spans="2:17" ht="13.5" customHeight="1" x14ac:dyDescent="0.25">
      <c r="B27" s="498">
        <f>G5</f>
        <v>1</v>
      </c>
      <c r="C27" s="499"/>
      <c r="D27" s="495" t="s">
        <v>14</v>
      </c>
      <c r="E27" s="500"/>
      <c r="F27" s="497"/>
      <c r="G27" s="335"/>
      <c r="I27" s="498">
        <f>B27</f>
        <v>1</v>
      </c>
      <c r="J27" s="524"/>
      <c r="K27" s="525" t="s">
        <v>87</v>
      </c>
      <c r="L27" s="500"/>
      <c r="M27" s="526"/>
      <c r="N27" s="309"/>
      <c r="O27" s="309"/>
      <c r="P27" s="335"/>
    </row>
    <row r="28" spans="2:17" ht="13.5" customHeight="1" x14ac:dyDescent="0.25">
      <c r="B28" s="498">
        <f>G6</f>
        <v>2</v>
      </c>
      <c r="C28" s="499"/>
      <c r="D28" s="495" t="s">
        <v>128</v>
      </c>
      <c r="E28" s="500"/>
      <c r="F28" s="497"/>
      <c r="G28" s="335"/>
      <c r="I28" s="498">
        <f>B28</f>
        <v>2</v>
      </c>
      <c r="J28" s="524"/>
      <c r="K28" s="525" t="s">
        <v>240</v>
      </c>
      <c r="L28" s="500"/>
      <c r="M28" s="526"/>
      <c r="N28" s="309"/>
      <c r="O28" s="309"/>
      <c r="P28" s="335"/>
    </row>
    <row r="29" spans="2:17" ht="13.5" customHeight="1" x14ac:dyDescent="0.25">
      <c r="B29" s="498">
        <f>G7</f>
        <v>3</v>
      </c>
      <c r="C29" s="499"/>
      <c r="D29" s="495" t="s">
        <v>250</v>
      </c>
      <c r="E29" s="500"/>
      <c r="F29" s="497"/>
      <c r="G29" s="335"/>
      <c r="I29" s="498">
        <f>B29</f>
        <v>3</v>
      </c>
      <c r="J29" s="524"/>
      <c r="K29" s="525" t="s">
        <v>246</v>
      </c>
      <c r="L29" s="500"/>
      <c r="M29" s="526"/>
      <c r="N29" s="309"/>
      <c r="O29" s="309"/>
      <c r="P29" s="335"/>
      <c r="Q29" s="3"/>
    </row>
    <row r="30" spans="2:17" x14ac:dyDescent="0.25">
      <c r="B30" s="336"/>
      <c r="C30" s="312"/>
      <c r="D30" s="312"/>
      <c r="E30" s="312"/>
      <c r="F30" s="312"/>
      <c r="G30" s="337"/>
      <c r="I30" s="336" t="str">
        <f ca="1">OFFSET(Charts!$G$32,MATCH(K27,Charts!H32:H60,0)-1,0)</f>
        <v>row_fcfe</v>
      </c>
      <c r="J30" s="312"/>
      <c r="K30" s="312"/>
      <c r="L30" s="312"/>
      <c r="M30" s="312"/>
      <c r="N30" s="312"/>
      <c r="O30" s="312"/>
      <c r="P30" s="337"/>
      <c r="Q30" s="3"/>
    </row>
    <row r="31" spans="2:17" x14ac:dyDescent="0.25">
      <c r="B31" s="336"/>
      <c r="C31" s="312" t="str">
        <f ca="1">OFFSET($D$31,MATCH(D27,$E$31:$E$37,0)-1,0)</f>
        <v>row_pe</v>
      </c>
      <c r="D31" s="312" t="s">
        <v>48</v>
      </c>
      <c r="E31" s="312" t="str">
        <f t="shared" ref="E31:E44" ca="1" si="1">INDIRECT(D31)</f>
        <v>Debt / equity ratio</v>
      </c>
      <c r="F31" s="312"/>
      <c r="G31" s="337"/>
      <c r="I31" s="336" t="str">
        <f ca="1">OFFSET(Charts!$G$32,MATCH(K28,Charts!$H$32:$H$53,0)-1,0)</f>
        <v>row_eva_ga</v>
      </c>
      <c r="J31" s="312"/>
      <c r="K31" s="312"/>
      <c r="L31" s="312"/>
      <c r="M31" s="312"/>
      <c r="N31" s="312"/>
      <c r="O31" s="312"/>
      <c r="P31" s="337"/>
      <c r="Q31" s="3"/>
    </row>
    <row r="32" spans="2:17" x14ac:dyDescent="0.25">
      <c r="B32" s="336"/>
      <c r="C32" s="312" t="str">
        <f ca="1">OFFSET($D$31,MATCH(D28,$E$31:$E$37,0)-1,0)</f>
        <v>row_leverage</v>
      </c>
      <c r="D32" s="312" t="s">
        <v>66</v>
      </c>
      <c r="E32" s="312" t="str">
        <f t="shared" ca="1" si="1"/>
        <v>Coverage ratio</v>
      </c>
      <c r="F32" s="312"/>
      <c r="G32" s="337"/>
      <c r="I32" s="336" t="str">
        <f ca="1">OFFSET(Charts!$G$32,MATCH(K29,Charts!$H$32:$H$53,0)-1,0)</f>
        <v>row_eva</v>
      </c>
      <c r="J32" s="312"/>
      <c r="K32" s="312"/>
      <c r="L32" s="312"/>
      <c r="M32" s="312"/>
      <c r="N32" s="312"/>
      <c r="O32" s="312"/>
      <c r="P32" s="337"/>
      <c r="Q32" s="3"/>
    </row>
    <row r="33" spans="2:17" x14ac:dyDescent="0.25">
      <c r="B33" s="336"/>
      <c r="C33" s="312" t="str">
        <f ca="1">OFFSET($D$31,MATCH(D29,$E$31:$E$37,0)-1,0)</f>
        <v>row_ev_ebitda</v>
      </c>
      <c r="D33" s="312" t="s">
        <v>71</v>
      </c>
      <c r="E33" s="312" t="str">
        <f t="shared" ca="1" si="1"/>
        <v>Enterprise value / EBITDA</v>
      </c>
      <c r="F33" s="312"/>
      <c r="G33" s="337"/>
      <c r="I33" s="336"/>
      <c r="J33" s="312"/>
      <c r="K33" s="312"/>
      <c r="L33" s="312"/>
      <c r="M33" s="312"/>
      <c r="N33" s="312"/>
      <c r="O33" s="312"/>
      <c r="P33" s="337"/>
      <c r="Q33" s="3"/>
    </row>
    <row r="34" spans="2:17" x14ac:dyDescent="0.25">
      <c r="B34" s="336"/>
      <c r="C34" s="312"/>
      <c r="D34" s="312" t="s">
        <v>98</v>
      </c>
      <c r="E34" s="312" t="str">
        <f t="shared" ca="1" si="1"/>
        <v>Equity [market / book] ratio</v>
      </c>
      <c r="F34" s="312"/>
      <c r="G34" s="337"/>
      <c r="I34" s="336"/>
      <c r="J34" s="312"/>
      <c r="K34" s="312"/>
      <c r="L34" s="312"/>
      <c r="M34" s="312"/>
      <c r="N34" s="312"/>
      <c r="O34" s="312"/>
      <c r="P34" s="337"/>
      <c r="Q34" s="3"/>
    </row>
    <row r="35" spans="2:17" x14ac:dyDescent="0.25">
      <c r="B35" s="336"/>
      <c r="C35" s="312"/>
      <c r="D35" s="312" t="s">
        <v>99</v>
      </c>
      <c r="E35" s="312" t="str">
        <f t="shared" ca="1" si="1"/>
        <v>Firm [market / book] ratio</v>
      </c>
      <c r="F35" s="312"/>
      <c r="G35" s="337"/>
      <c r="I35" s="336"/>
      <c r="J35" s="312"/>
      <c r="K35" s="312"/>
      <c r="L35" s="312"/>
      <c r="M35" s="312"/>
      <c r="N35" s="312"/>
      <c r="O35" s="312"/>
      <c r="P35" s="337"/>
      <c r="Q35" s="3"/>
    </row>
    <row r="36" spans="2:17" x14ac:dyDescent="0.25">
      <c r="B36" s="336"/>
      <c r="C36" s="312"/>
      <c r="D36" s="312" t="s">
        <v>68</v>
      </c>
      <c r="E36" s="312" t="str">
        <f t="shared" ca="1" si="1"/>
        <v>P/E ratio</v>
      </c>
      <c r="F36" s="312"/>
      <c r="G36" s="337"/>
      <c r="I36" s="336"/>
      <c r="J36" s="312"/>
      <c r="K36" s="312"/>
      <c r="L36" s="312"/>
      <c r="M36" s="312"/>
      <c r="N36" s="312"/>
      <c r="O36" s="312"/>
      <c r="P36" s="337"/>
      <c r="Q36" s="3"/>
    </row>
    <row r="37" spans="2:17" x14ac:dyDescent="0.25">
      <c r="B37" s="336"/>
      <c r="C37" s="312"/>
      <c r="D37" s="312" t="s">
        <v>287</v>
      </c>
      <c r="E37" s="312" t="str">
        <f t="shared" ca="1" si="1"/>
        <v>User defined calc #1</v>
      </c>
      <c r="F37" s="312"/>
      <c r="G37" s="337"/>
      <c r="I37" s="336"/>
      <c r="J37" s="312"/>
      <c r="K37" s="312"/>
      <c r="L37" s="312"/>
      <c r="M37" s="312"/>
      <c r="N37" s="312"/>
      <c r="O37" s="312"/>
      <c r="P37" s="337"/>
      <c r="Q37" s="3"/>
    </row>
    <row r="38" spans="2:17" x14ac:dyDescent="0.25">
      <c r="B38" s="336"/>
      <c r="C38" s="312"/>
      <c r="D38" s="312" t="s">
        <v>288</v>
      </c>
      <c r="E38" s="312" t="str">
        <f t="shared" ca="1" si="1"/>
        <v>User defined calc #2</v>
      </c>
      <c r="F38" s="312"/>
      <c r="G38" s="337"/>
      <c r="I38" s="336"/>
      <c r="J38" s="312"/>
      <c r="K38" s="312"/>
      <c r="L38" s="312"/>
      <c r="M38" s="312"/>
      <c r="N38" s="312"/>
      <c r="O38" s="312"/>
      <c r="P38" s="337"/>
      <c r="Q38" s="3"/>
    </row>
    <row r="39" spans="2:17" x14ac:dyDescent="0.25">
      <c r="B39" s="336"/>
      <c r="C39" s="312"/>
      <c r="D39" s="312" t="s">
        <v>289</v>
      </c>
      <c r="E39" s="312" t="str">
        <f t="shared" ca="1" si="1"/>
        <v>User defined calc #3</v>
      </c>
      <c r="F39" s="312"/>
      <c r="G39" s="337"/>
      <c r="I39" s="336"/>
      <c r="J39" s="312"/>
      <c r="K39" s="312"/>
      <c r="L39" s="312"/>
      <c r="M39" s="312"/>
      <c r="N39" s="312"/>
      <c r="O39" s="312"/>
      <c r="P39" s="337"/>
      <c r="Q39" s="3"/>
    </row>
    <row r="40" spans="2:17" x14ac:dyDescent="0.25">
      <c r="B40" s="336"/>
      <c r="C40" s="312"/>
      <c r="D40" s="312" t="s">
        <v>290</v>
      </c>
      <c r="E40" s="312" t="str">
        <f t="shared" ca="1" si="1"/>
        <v>User defined calc #4</v>
      </c>
      <c r="F40" s="312"/>
      <c r="G40" s="337"/>
      <c r="I40" s="336"/>
      <c r="J40" s="312"/>
      <c r="K40" s="312"/>
      <c r="L40" s="312"/>
      <c r="M40" s="312"/>
      <c r="N40" s="312"/>
      <c r="O40" s="312"/>
      <c r="P40" s="337"/>
      <c r="Q40" s="3"/>
    </row>
    <row r="41" spans="2:17" x14ac:dyDescent="0.25">
      <c r="B41" s="336"/>
      <c r="C41" s="312"/>
      <c r="D41" s="312" t="s">
        <v>291</v>
      </c>
      <c r="E41" s="312" t="str">
        <f t="shared" ca="1" si="1"/>
        <v>User defined calc #5</v>
      </c>
      <c r="F41" s="312"/>
      <c r="G41" s="337"/>
      <c r="I41" s="336"/>
      <c r="J41" s="312"/>
      <c r="K41" s="312"/>
      <c r="L41" s="312"/>
      <c r="M41" s="312"/>
      <c r="N41" s="312"/>
      <c r="O41" s="312"/>
      <c r="P41" s="337"/>
      <c r="Q41" s="3"/>
    </row>
    <row r="42" spans="2:17" x14ac:dyDescent="0.25">
      <c r="B42" s="336"/>
      <c r="C42" s="312"/>
      <c r="D42" s="312" t="s">
        <v>292</v>
      </c>
      <c r="E42" s="312" t="str">
        <f t="shared" ca="1" si="1"/>
        <v>User defined calc #6</v>
      </c>
      <c r="F42" s="312"/>
      <c r="G42" s="337"/>
      <c r="I42" s="336"/>
      <c r="J42" s="312"/>
      <c r="K42" s="312"/>
      <c r="L42" s="312"/>
      <c r="M42" s="312"/>
      <c r="N42" s="312"/>
      <c r="O42" s="312"/>
      <c r="P42" s="337"/>
      <c r="Q42" s="3"/>
    </row>
    <row r="43" spans="2:17" x14ac:dyDescent="0.25">
      <c r="B43" s="336"/>
      <c r="C43" s="312"/>
      <c r="D43" s="312" t="s">
        <v>293</v>
      </c>
      <c r="E43" s="312" t="str">
        <f t="shared" ca="1" si="1"/>
        <v>User defined calc #7</v>
      </c>
      <c r="F43" s="312"/>
      <c r="G43" s="337"/>
      <c r="I43" s="336"/>
      <c r="J43" s="312"/>
      <c r="K43" s="312"/>
      <c r="L43" s="312"/>
      <c r="M43" s="312"/>
      <c r="N43" s="312"/>
      <c r="O43" s="312"/>
      <c r="P43" s="337"/>
      <c r="Q43" s="3"/>
    </row>
    <row r="44" spans="2:17" x14ac:dyDescent="0.25">
      <c r="B44" s="336"/>
      <c r="C44" s="312"/>
      <c r="D44" s="312" t="s">
        <v>294</v>
      </c>
      <c r="E44" s="312" t="str">
        <f t="shared" ca="1" si="1"/>
        <v>User defined calc #8</v>
      </c>
      <c r="F44" s="312"/>
      <c r="G44" s="337"/>
      <c r="I44" s="336"/>
      <c r="J44" s="312"/>
      <c r="K44" s="312"/>
      <c r="L44" s="312"/>
      <c r="M44" s="312"/>
      <c r="N44" s="312"/>
      <c r="O44" s="312"/>
      <c r="P44" s="337"/>
      <c r="Q44" s="3"/>
    </row>
    <row r="45" spans="2:17" x14ac:dyDescent="0.25">
      <c r="B45" s="336"/>
      <c r="C45" s="312"/>
      <c r="D45" s="312"/>
      <c r="E45" s="312"/>
      <c r="F45" s="312"/>
      <c r="G45" s="337"/>
      <c r="I45" s="336"/>
      <c r="J45" s="312"/>
      <c r="K45" s="312"/>
      <c r="L45" s="312"/>
      <c r="M45" s="312"/>
      <c r="N45" s="312"/>
      <c r="O45" s="312"/>
      <c r="P45" s="337"/>
      <c r="Q45" s="3"/>
    </row>
    <row r="46" spans="2:17" x14ac:dyDescent="0.25">
      <c r="B46" s="336"/>
      <c r="C46" s="312"/>
      <c r="D46" s="312"/>
      <c r="E46" s="312"/>
      <c r="F46" s="312"/>
      <c r="G46" s="337"/>
      <c r="I46" s="336"/>
      <c r="J46" s="312"/>
      <c r="K46" s="312"/>
      <c r="L46" s="312"/>
      <c r="M46" s="312"/>
      <c r="N46" s="312"/>
      <c r="O46" s="312"/>
      <c r="P46" s="337"/>
      <c r="Q46" s="3"/>
    </row>
    <row r="47" spans="2:17" ht="13.5" thickBot="1" x14ac:dyDescent="0.35">
      <c r="B47" s="338"/>
      <c r="C47" s="339"/>
      <c r="D47" s="339"/>
      <c r="E47" s="339"/>
      <c r="F47" s="339"/>
      <c r="G47" s="340"/>
      <c r="H47" s="3"/>
      <c r="I47" s="341"/>
      <c r="J47" s="339"/>
      <c r="K47" s="339"/>
      <c r="L47" s="339"/>
      <c r="M47" s="339"/>
      <c r="N47" s="339"/>
      <c r="O47" s="339"/>
      <c r="P47" s="340"/>
      <c r="Q47" s="3"/>
    </row>
    <row r="48" spans="2:17" x14ac:dyDescent="0.25">
      <c r="C48" s="3"/>
      <c r="G48" s="3"/>
      <c r="H48" s="3"/>
      <c r="Q48" s="3"/>
    </row>
    <row r="49" spans="2:17" x14ac:dyDescent="0.25">
      <c r="C49" s="527" t="str">
        <f>Main!C142</f>
        <v>^ Disclaimer:  Tykoh Group Pty Limited ("Tykoh") disclaims all warranties of quality, accuracy, correctness, or fitness for a particular purpose.  This spreadsheet is for educational use only and should not be used for pricing or risk management purposes. Copyright (c) 2012 Tykoh Group Pty Limited.  All rights reserved.</v>
      </c>
      <c r="D49" s="528"/>
      <c r="E49" s="528"/>
      <c r="F49" s="528"/>
      <c r="G49" s="528"/>
      <c r="H49" s="528"/>
      <c r="I49" s="528"/>
      <c r="J49" s="528"/>
      <c r="K49" s="528"/>
      <c r="L49" s="528"/>
      <c r="M49" s="529"/>
      <c r="Q49" s="3"/>
    </row>
    <row r="50" spans="2:17" x14ac:dyDescent="0.25">
      <c r="C50" s="530"/>
      <c r="D50" s="531"/>
      <c r="E50" s="531"/>
      <c r="F50" s="531"/>
      <c r="G50" s="531"/>
      <c r="H50" s="531"/>
      <c r="I50" s="531"/>
      <c r="J50" s="531"/>
      <c r="K50" s="531"/>
      <c r="L50" s="531"/>
      <c r="M50" s="532"/>
      <c r="Q50" s="3"/>
    </row>
    <row r="51" spans="2:17" x14ac:dyDescent="0.25">
      <c r="C51" s="533"/>
      <c r="D51" s="534"/>
      <c r="E51" s="534"/>
      <c r="F51" s="534"/>
      <c r="G51" s="534"/>
      <c r="H51" s="534"/>
      <c r="I51" s="534"/>
      <c r="J51" s="534"/>
      <c r="K51" s="534"/>
      <c r="L51" s="534"/>
      <c r="M51" s="535"/>
      <c r="Q51" s="3"/>
    </row>
    <row r="52" spans="2:17" x14ac:dyDescent="0.25">
      <c r="C52" s="3"/>
      <c r="G52" s="3"/>
      <c r="H52" s="3"/>
      <c r="Q52" s="3"/>
    </row>
    <row r="53" spans="2:17" x14ac:dyDescent="0.25">
      <c r="C53" s="3"/>
      <c r="F53" s="431" t="str">
        <f>Main!F146</f>
        <v>www.tykoh.com</v>
      </c>
      <c r="G53" s="431"/>
      <c r="H53" s="431"/>
      <c r="Q53" s="3"/>
    </row>
    <row r="54" spans="2:17" x14ac:dyDescent="0.25">
      <c r="C54" s="3"/>
      <c r="G54" s="3"/>
      <c r="H54" s="3"/>
      <c r="Q54" s="3"/>
    </row>
    <row r="55" spans="2:17" ht="13" hidden="1" thickBot="1" x14ac:dyDescent="0.3">
      <c r="C55" s="3"/>
      <c r="G55" s="3"/>
      <c r="H55" s="3"/>
      <c r="Q55" s="3"/>
    </row>
    <row r="56" spans="2:17" hidden="1" x14ac:dyDescent="0.25">
      <c r="B56" s="518" t="str">
        <f>Main!$B$128</f>
        <v>You can put a comment here</v>
      </c>
      <c r="C56" s="519"/>
      <c r="D56" s="519"/>
      <c r="E56" s="519"/>
      <c r="F56" s="519"/>
      <c r="G56" s="519"/>
      <c r="H56" s="519"/>
      <c r="I56" s="519"/>
      <c r="J56" s="519"/>
      <c r="K56" s="519"/>
      <c r="L56" s="520"/>
      <c r="Q56" s="3"/>
    </row>
    <row r="57" spans="2:17" ht="13" hidden="1" thickBot="1" x14ac:dyDescent="0.3">
      <c r="B57" s="521"/>
      <c r="C57" s="522"/>
      <c r="D57" s="522"/>
      <c r="E57" s="522"/>
      <c r="F57" s="522"/>
      <c r="G57" s="522"/>
      <c r="H57" s="522"/>
      <c r="I57" s="522"/>
      <c r="J57" s="522"/>
      <c r="K57" s="522"/>
      <c r="L57" s="523"/>
    </row>
    <row r="58" spans="2:17" hidden="1" x14ac:dyDescent="0.25">
      <c r="B58" s="3"/>
      <c r="C58" s="3"/>
      <c r="G58" s="3"/>
      <c r="H58" s="3"/>
    </row>
    <row r="69" spans="2:9" ht="13" hidden="1" x14ac:dyDescent="0.3">
      <c r="B69" s="130"/>
      <c r="C69" s="3"/>
      <c r="D69" s="3"/>
      <c r="E69" s="3"/>
      <c r="F69" s="3"/>
      <c r="G69" s="3"/>
      <c r="H69" s="3"/>
      <c r="I69" s="3"/>
    </row>
    <row r="70" spans="2:9" hidden="1" x14ac:dyDescent="0.25">
      <c r="C70" s="3"/>
      <c r="G70" s="3"/>
      <c r="H70" s="3"/>
      <c r="I70" s="3"/>
    </row>
    <row r="71" spans="2:9" hidden="1" x14ac:dyDescent="0.25">
      <c r="C71" s="3"/>
      <c r="G71" s="3"/>
      <c r="H71" s="3"/>
      <c r="I71" s="3"/>
    </row>
    <row r="72" spans="2:9" hidden="1" x14ac:dyDescent="0.25">
      <c r="C72" s="3"/>
      <c r="G72" s="3"/>
      <c r="H72" s="3"/>
      <c r="I72" s="3"/>
    </row>
    <row r="73" spans="2:9" hidden="1" x14ac:dyDescent="0.25">
      <c r="B73" s="3"/>
      <c r="C73" s="3"/>
      <c r="G73" s="3"/>
      <c r="H73" s="3"/>
      <c r="I73" s="3"/>
    </row>
    <row r="74" spans="2:9" hidden="1" x14ac:dyDescent="0.25">
      <c r="B74" s="3"/>
      <c r="C74" s="3"/>
      <c r="G74" s="3"/>
      <c r="H74" s="3"/>
      <c r="I74" s="3"/>
    </row>
    <row r="75" spans="2:9" hidden="1" x14ac:dyDescent="0.25">
      <c r="B75" s="3"/>
      <c r="C75" s="3"/>
      <c r="G75" s="3"/>
      <c r="H75" s="3"/>
      <c r="I75" s="3"/>
    </row>
    <row r="76" spans="2:9" hidden="1" x14ac:dyDescent="0.25">
      <c r="B76" s="3"/>
      <c r="C76" s="3"/>
      <c r="G76" s="3"/>
      <c r="H76" s="3"/>
      <c r="I76" s="3"/>
    </row>
    <row r="77" spans="2:9" hidden="1" x14ac:dyDescent="0.25">
      <c r="B77" s="3"/>
      <c r="C77" s="3"/>
      <c r="G77" s="3"/>
      <c r="H77" s="3"/>
      <c r="I77" s="3"/>
    </row>
    <row r="78" spans="2:9" hidden="1" x14ac:dyDescent="0.25">
      <c r="B78" s="3"/>
      <c r="C78" s="3"/>
      <c r="G78" s="3"/>
      <c r="H78" s="3"/>
      <c r="I78" s="3"/>
    </row>
    <row r="79" spans="2:9" hidden="1" x14ac:dyDescent="0.25">
      <c r="B79" s="3"/>
      <c r="C79" s="3"/>
      <c r="G79" s="3"/>
      <c r="H79" s="3"/>
      <c r="I79" s="3"/>
    </row>
    <row r="80" spans="2:9" hidden="1" x14ac:dyDescent="0.25">
      <c r="B80" s="3"/>
      <c r="C80" s="3"/>
      <c r="G80" s="3"/>
      <c r="H80" s="3"/>
      <c r="I80" s="3"/>
    </row>
    <row r="81" spans="2:9" hidden="1" x14ac:dyDescent="0.25">
      <c r="B81" s="3"/>
      <c r="C81" s="3"/>
      <c r="G81" s="3"/>
      <c r="H81" s="3"/>
      <c r="I81" s="3"/>
    </row>
    <row r="82" spans="2:9" hidden="1" x14ac:dyDescent="0.25">
      <c r="B82" s="3"/>
      <c r="C82" s="3"/>
      <c r="G82" s="3"/>
      <c r="H82" s="3"/>
      <c r="I82" s="3"/>
    </row>
    <row r="83" spans="2:9" hidden="1" x14ac:dyDescent="0.25">
      <c r="B83" s="3"/>
      <c r="C83" s="3"/>
      <c r="G83" s="3"/>
      <c r="H83" s="3"/>
      <c r="I83" s="3"/>
    </row>
    <row r="84" spans="2:9" hidden="1" x14ac:dyDescent="0.25">
      <c r="B84" s="3"/>
      <c r="C84" s="3"/>
      <c r="G84" s="3"/>
      <c r="H84" s="3"/>
      <c r="I84" s="3"/>
    </row>
    <row r="85" spans="2:9" hidden="1" x14ac:dyDescent="0.25">
      <c r="B85" s="3"/>
      <c r="C85" s="3"/>
      <c r="G85" s="3"/>
      <c r="H85" s="3"/>
      <c r="I85" s="3"/>
    </row>
    <row r="86" spans="2:9" hidden="1" x14ac:dyDescent="0.25">
      <c r="B86" s="3"/>
      <c r="C86" s="3"/>
      <c r="G86" s="3"/>
      <c r="H86" s="3"/>
      <c r="I86" s="3"/>
    </row>
    <row r="87" spans="2:9" hidden="1" x14ac:dyDescent="0.25">
      <c r="B87" s="3"/>
      <c r="C87" s="3"/>
      <c r="G87" s="3"/>
      <c r="H87" s="3"/>
      <c r="I87" s="3"/>
    </row>
    <row r="88" spans="2:9" hidden="1" x14ac:dyDescent="0.25">
      <c r="B88" s="3"/>
      <c r="C88" s="3"/>
      <c r="D88" s="3"/>
      <c r="E88" s="3"/>
      <c r="F88" s="3"/>
      <c r="G88" s="3"/>
      <c r="H88" s="3"/>
      <c r="I88" s="3"/>
    </row>
  </sheetData>
  <sheetProtection algorithmName="SHA-512" hashValue="prbWAhU5lmKSaOY+7+HUpBTuHGC8ml0e8s1i5JBHANNC8M/ZgXXkqcs8RmRUy+JcYlNyZgUi4KKhdXwkxDr3JA==" saltValue="gnSV+lCCGHr5UnlqSUdeyw==" spinCount="100000" sheet="1" objects="1" scenarios="1"/>
  <mergeCells count="29">
    <mergeCell ref="B56:L57"/>
    <mergeCell ref="I29:J29"/>
    <mergeCell ref="K27:M27"/>
    <mergeCell ref="K28:M28"/>
    <mergeCell ref="K29:M29"/>
    <mergeCell ref="I27:J27"/>
    <mergeCell ref="I28:J28"/>
    <mergeCell ref="C49:M51"/>
    <mergeCell ref="F53:H53"/>
    <mergeCell ref="B29:C29"/>
    <mergeCell ref="F1:I1"/>
    <mergeCell ref="D28:F28"/>
    <mergeCell ref="D29:F29"/>
    <mergeCell ref="I26:P26"/>
    <mergeCell ref="B4:D4"/>
    <mergeCell ref="B2:O3"/>
    <mergeCell ref="G4:O4"/>
    <mergeCell ref="B13:B18"/>
    <mergeCell ref="O1:P1"/>
    <mergeCell ref="I7:K7"/>
    <mergeCell ref="I5:K5"/>
    <mergeCell ref="I6:K6"/>
    <mergeCell ref="B28:C28"/>
    <mergeCell ref="D27:F27"/>
    <mergeCell ref="B26:G26"/>
    <mergeCell ref="B27:C27"/>
    <mergeCell ref="G5:H5"/>
    <mergeCell ref="G6:H6"/>
    <mergeCell ref="G7:H7"/>
  </mergeCells>
  <phoneticPr fontId="4" type="noConversion"/>
  <conditionalFormatting sqref="B2:O3">
    <cfRule type="expression" dxfId="6" priority="1" stopIfTrue="1">
      <formula>LEN($B$2)&gt;0</formula>
    </cfRule>
  </conditionalFormatting>
  <dataValidations count="3">
    <dataValidation type="list" allowBlank="1" showInputMessage="1" showErrorMessage="1" sqref="I5:I7" xr:uid="{00000000-0002-0000-0200-000000000000}">
      <formula1>OFFSET(charts_percentage_items,0,COLUMN(column_chart_choices)-COLUMN(column_chart_items))</formula1>
    </dataValidation>
    <dataValidation type="list" allowBlank="1" showInputMessage="1" showErrorMessage="1" sqref="K27:K29" xr:uid="{00000000-0002-0000-0200-000001000000}">
      <formula1>OFFSET(charts_value_items,0,COLUMN(column_chart_choices)-COLUMN(column_chart_items))</formula1>
    </dataValidation>
    <dataValidation type="list" allowBlank="1" showInputMessage="1" showErrorMessage="1" sqref="D27:D29" xr:uid="{00000000-0002-0000-0200-000002000000}">
      <formula1>OFFSET(charts_ratio_items,0,COLUMN(column_chart_choices)-COLUMN(column_chart_items))</formula1>
    </dataValidation>
  </dataValidations>
  <hyperlinks>
    <hyperlink ref="B6" location="hyper_roc" display="hyper_roc" xr:uid="{00000000-0004-0000-0200-000000000000}"/>
    <hyperlink ref="B7" location="hyper_leverage" display="hyper_leverage" xr:uid="{00000000-0004-0000-0200-000001000000}"/>
    <hyperlink ref="B8" location="hyper_depn_rate" display="hyper_depn_rate" xr:uid="{00000000-0004-0000-0200-000002000000}"/>
    <hyperlink ref="B9" location="hyper_tax_rate" display="hyper_tax_rate" xr:uid="{00000000-0004-0000-0200-000003000000}"/>
    <hyperlink ref="B10" location="hyper_risk_free_rate" display="hyper_risk_free_rate" xr:uid="{00000000-0004-0000-0200-000004000000}"/>
    <hyperlink ref="B12" location="hyper_growth" display="hyper_growth" xr:uid="{00000000-0004-0000-0200-000005000000}"/>
    <hyperlink ref="B11" location="hyper_unlevered_coe" display="hyper_unlevered_coe" xr:uid="{00000000-0004-0000-0200-000006000000}"/>
    <hyperlink ref="B20" location="hyper_opening_assets" display="hyper_opening_assets" xr:uid="{00000000-0004-0000-0200-000007000000}"/>
    <hyperlink ref="B21" location="hyper_base_year" display="hyper_base_year" xr:uid="{00000000-0004-0000-0200-000008000000}"/>
    <hyperlink ref="B22" location="hyper_first_phase" display="hyper_first_phase" xr:uid="{00000000-0004-0000-0200-000009000000}"/>
    <hyperlink ref="B23" location="hyper_fade" display="hyper_fade" xr:uid="{00000000-0004-0000-0200-00000A000000}"/>
    <hyperlink ref="B24" location="hyper_scenario" display="hyper_scenario" xr:uid="{00000000-0004-0000-0200-00000B000000}"/>
    <hyperlink ref="B5" location="hyper_phase" display="hyper_phase" xr:uid="{00000000-0004-0000-0200-00000C000000}"/>
    <hyperlink ref="F53" r:id="rId1" display="www.tykoh.com" xr:uid="{00000000-0004-0000-0200-00000D000000}"/>
    <hyperlink ref="F53:H53" r:id="rId2" display="https://www.tykoh.com/?rfr=vm" xr:uid="{00000000-0004-0000-0200-00000E000000}"/>
    <hyperlink ref="O1:P1" r:id="rId3" display="http://www.tykoh.com/downloads/TykohValuationUtility_1_1.pdf" xr:uid="{00000000-0004-0000-0200-00000F000000}"/>
    <hyperlink ref="B1" location="Introduction!A1" display="Introduction!A1" xr:uid="{00000000-0004-0000-0200-000010000000}"/>
    <hyperlink ref="B13:B18" location="hyper_interest_margin" display="hyper_interest_margin" xr:uid="{00000000-0004-0000-0200-000011000000}"/>
  </hyperlinks>
  <pageMargins left="0.75" right="0.75" top="1" bottom="1" header="0.5" footer="0.5"/>
  <pageSetup paperSize="9" orientation="portrait" r:id="rId4"/>
  <headerFooter alignWithMargins="0"/>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Z185"/>
  <sheetViews>
    <sheetView showGridLines="0" showRowColHeaders="0" workbookViewId="0"/>
  </sheetViews>
  <sheetFormatPr defaultColWidth="0" defaultRowHeight="12.5" zeroHeight="1" x14ac:dyDescent="0.25"/>
  <cols>
    <col min="1" max="1" width="1.7265625" style="24" customWidth="1"/>
    <col min="2" max="2" width="23.453125" style="24" customWidth="1"/>
    <col min="3" max="16" width="9.1796875" style="24" customWidth="1"/>
    <col min="17" max="17" width="1.7265625" style="24" customWidth="1"/>
    <col min="18" max="16384" width="0" style="24" hidden="1"/>
  </cols>
  <sheetData>
    <row r="1" spans="1:26" ht="13.5" thickTop="1" thickBot="1" x14ac:dyDescent="0.3">
      <c r="A1" s="60"/>
      <c r="B1" s="342" t="str">
        <f>Main!B1</f>
        <v>Introduction</v>
      </c>
      <c r="C1" s="343"/>
      <c r="D1" s="343"/>
      <c r="E1" s="343"/>
      <c r="F1" s="536" t="str">
        <f>Main!F1</f>
        <v>Tykoh Valuation Model (^)</v>
      </c>
      <c r="G1" s="536"/>
      <c r="H1" s="536"/>
      <c r="I1" s="536"/>
      <c r="J1" s="344" t="str">
        <f>Main!J1</f>
        <v>v1.1</v>
      </c>
      <c r="K1" s="343"/>
      <c r="L1" s="343"/>
      <c r="M1" s="343"/>
      <c r="N1" s="343"/>
      <c r="O1" s="482" t="str">
        <f>Main!O1</f>
        <v>User guide</v>
      </c>
      <c r="P1" s="435"/>
      <c r="Q1" s="43"/>
      <c r="R1" s="43"/>
      <c r="S1" s="43"/>
      <c r="T1" s="43"/>
      <c r="U1" s="43"/>
      <c r="V1" s="43"/>
      <c r="W1" s="43"/>
      <c r="X1" s="43"/>
      <c r="Y1" s="43"/>
      <c r="Z1" s="43"/>
    </row>
    <row r="2" spans="1:26" ht="13" thickTop="1" x14ac:dyDescent="0.25">
      <c r="A2" s="60"/>
      <c r="B2" s="537" t="str">
        <f ca="1">IF(LEN(M23)&gt;0,main_page_error &amp; " when using a " &amp; LOWER(F185) &amp; " of " &amp; TEXT(L23,"0.00%") &amp;". " &amp; the_error_was &amp; M23 &amp;".","")</f>
        <v/>
      </c>
      <c r="C2" s="437"/>
      <c r="D2" s="437"/>
      <c r="E2" s="437"/>
      <c r="F2" s="437"/>
      <c r="G2" s="437"/>
      <c r="H2" s="437"/>
      <c r="I2" s="437"/>
      <c r="J2" s="437"/>
      <c r="K2" s="437"/>
      <c r="L2" s="437"/>
      <c r="M2" s="437"/>
      <c r="N2" s="437"/>
      <c r="O2" s="437"/>
      <c r="P2" s="437"/>
      <c r="Q2" s="43"/>
      <c r="R2" s="43"/>
      <c r="S2" s="43"/>
      <c r="T2" s="43"/>
      <c r="U2" s="43"/>
      <c r="V2" s="43"/>
      <c r="W2" s="43"/>
      <c r="X2" s="43"/>
      <c r="Y2" s="43"/>
      <c r="Z2" s="43"/>
    </row>
    <row r="3" spans="1:26" ht="13" thickBot="1" x14ac:dyDescent="0.3">
      <c r="A3" s="60"/>
      <c r="B3" s="437"/>
      <c r="C3" s="437"/>
      <c r="D3" s="437"/>
      <c r="E3" s="437"/>
      <c r="F3" s="437"/>
      <c r="G3" s="437"/>
      <c r="H3" s="437"/>
      <c r="I3" s="437"/>
      <c r="J3" s="437"/>
      <c r="K3" s="437"/>
      <c r="L3" s="437"/>
      <c r="M3" s="437"/>
      <c r="N3" s="437"/>
      <c r="O3" s="437"/>
      <c r="P3" s="437"/>
      <c r="Q3" s="43"/>
      <c r="R3" s="43"/>
      <c r="S3" s="43"/>
      <c r="T3" s="43"/>
      <c r="U3" s="43"/>
      <c r="V3" s="43"/>
      <c r="W3" s="43"/>
      <c r="X3" s="43"/>
      <c r="Y3" s="43"/>
      <c r="Z3" s="43"/>
    </row>
    <row r="4" spans="1:26" ht="13" x14ac:dyDescent="0.25">
      <c r="A4" s="60"/>
      <c r="B4" s="345" t="s">
        <v>180</v>
      </c>
      <c r="C4" s="346"/>
      <c r="D4" s="347"/>
      <c r="E4" s="299"/>
      <c r="F4" s="343"/>
      <c r="G4" s="538" t="s">
        <v>179</v>
      </c>
      <c r="H4" s="539"/>
      <c r="I4" s="539"/>
      <c r="J4" s="539"/>
      <c r="K4" s="539"/>
      <c r="L4" s="539"/>
      <c r="M4" s="539"/>
      <c r="N4" s="539"/>
      <c r="O4" s="539"/>
      <c r="P4" s="505"/>
      <c r="Q4" s="43"/>
      <c r="R4" s="43"/>
      <c r="S4" s="43"/>
      <c r="T4" s="43"/>
      <c r="U4" s="43"/>
      <c r="V4" s="43"/>
      <c r="W4" s="43"/>
      <c r="X4" s="43"/>
      <c r="Y4" s="43"/>
      <c r="Z4" s="43"/>
    </row>
    <row r="5" spans="1:26" s="350" customFormat="1" x14ac:dyDescent="0.25">
      <c r="A5" s="187"/>
      <c r="B5" s="300" t="str">
        <f>Main!B5</f>
        <v>Phase</v>
      </c>
      <c r="C5" s="348" t="str">
        <f>PROPER(initial)</f>
        <v>Initial</v>
      </c>
      <c r="D5" s="349" t="str">
        <f>PROPER(final)</f>
        <v>Terminal</v>
      </c>
      <c r="F5" s="351"/>
      <c r="G5" s="352" t="s">
        <v>186</v>
      </c>
      <c r="H5" s="309"/>
      <c r="I5" s="309"/>
      <c r="J5" s="54" t="s">
        <v>164</v>
      </c>
      <c r="K5" s="353"/>
      <c r="L5" s="540" t="s">
        <v>128</v>
      </c>
      <c r="M5" s="541"/>
      <c r="N5" s="542"/>
      <c r="O5" s="354"/>
      <c r="P5" s="355"/>
      <c r="Q5" s="356"/>
      <c r="R5" s="356"/>
      <c r="S5" s="356"/>
      <c r="T5" s="356"/>
      <c r="U5" s="356"/>
      <c r="V5" s="356"/>
      <c r="W5" s="356"/>
      <c r="X5" s="356"/>
      <c r="Y5" s="356"/>
      <c r="Z5" s="356"/>
    </row>
    <row r="6" spans="1:26" ht="13.5" customHeight="1" x14ac:dyDescent="0.25">
      <c r="A6" s="60"/>
      <c r="B6" s="306" t="str">
        <f>Main!B6</f>
        <v>Return on capital</v>
      </c>
      <c r="C6" s="357">
        <f ca="1">Main!$C$6</f>
        <v>0.12</v>
      </c>
      <c r="D6" s="358">
        <f ca="1">Main!D6</f>
        <v>0.1</v>
      </c>
      <c r="F6" s="359">
        <v>6</v>
      </c>
      <c r="G6" s="550" t="str">
        <f>"The solid orange line above shows the normal evolution of the " &amp; LOWER(L5) &amp;".  The dotted lines show the range of other "&amp;LOWER(L5)&amp;"s that will be used in calculating important sensitivities. [The upper and lower bounds of the dotted lines are 'hard-coded']"</f>
        <v>The solid orange line above shows the normal evolution of the debt / equity ratio.  The dotted lines show the range of other debt / equity ratios that will be used in calculating important sensitivities. [The upper and lower bounds of the dotted lines are 'hard-coded']</v>
      </c>
      <c r="H6" s="488"/>
      <c r="I6" s="488"/>
      <c r="J6" s="488"/>
      <c r="K6" s="488"/>
      <c r="L6" s="488"/>
      <c r="M6" s="488"/>
      <c r="N6" s="488"/>
      <c r="O6" s="488"/>
      <c r="P6" s="551"/>
    </row>
    <row r="7" spans="1:26" ht="13.5" customHeight="1" x14ac:dyDescent="0.25">
      <c r="A7" s="60"/>
      <c r="B7" s="306" t="str">
        <f>Main!B7</f>
        <v>Debt / equity ratio</v>
      </c>
      <c r="C7" s="357">
        <f ca="1">Main!$C$7</f>
        <v>0.5</v>
      </c>
      <c r="D7" s="358">
        <f ca="1">Main!D7</f>
        <v>0.1</v>
      </c>
      <c r="F7" s="359">
        <v>1</v>
      </c>
      <c r="G7" s="552"/>
      <c r="H7" s="488"/>
      <c r="I7" s="488"/>
      <c r="J7" s="488"/>
      <c r="K7" s="488"/>
      <c r="L7" s="488"/>
      <c r="M7" s="488"/>
      <c r="N7" s="488"/>
      <c r="O7" s="488"/>
      <c r="P7" s="551"/>
    </row>
    <row r="8" spans="1:26" x14ac:dyDescent="0.25">
      <c r="A8" s="60"/>
      <c r="B8" s="306" t="str">
        <f>Main!B8</f>
        <v>Depreciation rate</v>
      </c>
      <c r="C8" s="357">
        <f ca="1">Main!C8</f>
        <v>0.02</v>
      </c>
      <c r="D8" s="358">
        <f ca="1">Main!D8</f>
        <v>0.02</v>
      </c>
      <c r="F8" s="359">
        <v>2</v>
      </c>
      <c r="G8" s="552"/>
      <c r="H8" s="488"/>
      <c r="I8" s="488"/>
      <c r="J8" s="488"/>
      <c r="K8" s="488"/>
      <c r="L8" s="488"/>
      <c r="M8" s="488"/>
      <c r="N8" s="488"/>
      <c r="O8" s="488"/>
      <c r="P8" s="551"/>
    </row>
    <row r="9" spans="1:26" x14ac:dyDescent="0.25">
      <c r="A9" s="60"/>
      <c r="B9" s="306" t="str">
        <f>Main!B9</f>
        <v>Tax rate</v>
      </c>
      <c r="C9" s="357">
        <f ca="1">Main!C9</f>
        <v>0.3</v>
      </c>
      <c r="D9" s="358">
        <f ca="1">Main!D9</f>
        <v>0.3</v>
      </c>
      <c r="F9" s="359">
        <v>5</v>
      </c>
      <c r="G9" s="552"/>
      <c r="H9" s="488"/>
      <c r="I9" s="488"/>
      <c r="J9" s="488"/>
      <c r="K9" s="488"/>
      <c r="L9" s="488"/>
      <c r="M9" s="488"/>
      <c r="N9" s="488"/>
      <c r="O9" s="488"/>
      <c r="P9" s="551"/>
    </row>
    <row r="10" spans="1:26" x14ac:dyDescent="0.25">
      <c r="A10" s="60"/>
      <c r="B10" s="306" t="str">
        <f>Main!B10</f>
        <v>Risk free rate</v>
      </c>
      <c r="C10" s="357">
        <f ca="1">Main!C10</f>
        <v>0.04</v>
      </c>
      <c r="D10" s="358">
        <f ca="1">Main!D10</f>
        <v>0.04</v>
      </c>
      <c r="F10" s="359">
        <v>4</v>
      </c>
      <c r="G10" s="360"/>
      <c r="H10" s="361"/>
      <c r="I10" s="361"/>
      <c r="J10" s="361"/>
      <c r="K10" s="361"/>
      <c r="L10" s="361"/>
      <c r="M10" s="361"/>
      <c r="N10" s="361"/>
      <c r="O10" s="361"/>
      <c r="P10" s="362"/>
    </row>
    <row r="11" spans="1:26" x14ac:dyDescent="0.25">
      <c r="A11" s="60"/>
      <c r="B11" s="314" t="str">
        <f>Main!B11</f>
        <v>Equity margin</v>
      </c>
      <c r="C11" s="363">
        <f ca="1">Main!C11</f>
        <v>7.0000000000000007E-2</v>
      </c>
      <c r="D11" s="364">
        <f ca="1">Main!D11</f>
        <v>7.0000000000000007E-2</v>
      </c>
      <c r="F11" s="359">
        <v>7</v>
      </c>
      <c r="G11" s="553"/>
      <c r="H11" s="547"/>
      <c r="I11" s="547"/>
      <c r="J11" s="547"/>
      <c r="K11" s="547"/>
      <c r="L11" s="547"/>
      <c r="M11" s="547"/>
      <c r="N11" s="547"/>
      <c r="O11" s="547"/>
      <c r="P11" s="548"/>
    </row>
    <row r="12" spans="1:26" x14ac:dyDescent="0.25">
      <c r="A12" s="60"/>
      <c r="B12" s="306" t="str">
        <f>Main!B12</f>
        <v>Growth rate</v>
      </c>
      <c r="C12" s="365">
        <f ca="1">Main!C12</f>
        <v>0.05</v>
      </c>
      <c r="D12" s="366">
        <f ca="1">Main!D12</f>
        <v>0.02</v>
      </c>
      <c r="F12" s="359">
        <v>3</v>
      </c>
      <c r="G12" s="367"/>
      <c r="H12" s="368"/>
      <c r="I12" s="368"/>
      <c r="J12" s="368"/>
      <c r="K12" s="368"/>
      <c r="L12" s="368"/>
      <c r="M12" s="368"/>
      <c r="N12" s="368"/>
      <c r="O12" s="368"/>
      <c r="P12" s="369"/>
    </row>
    <row r="13" spans="1:26" ht="25.5" thickBot="1" x14ac:dyDescent="0.3">
      <c r="A13" s="60"/>
      <c r="B13" s="512" t="str">
        <f>Main!B13</f>
        <v>Coverage ratio / interest margin</v>
      </c>
      <c r="C13" s="319" t="str">
        <f>Main!C14</f>
        <v>Coverage ratio</v>
      </c>
      <c r="D13" s="320" t="str">
        <f>Main!D14</f>
        <v>Interest margin</v>
      </c>
      <c r="G13" s="370"/>
      <c r="H13" s="361"/>
      <c r="I13" s="361"/>
      <c r="J13" s="368"/>
      <c r="K13" s="368"/>
      <c r="L13" s="371"/>
      <c r="M13" s="371"/>
      <c r="N13" s="368"/>
      <c r="O13" s="368"/>
      <c r="P13" s="369"/>
    </row>
    <row r="14" spans="1:26" ht="12.75" customHeight="1" thickBot="1" x14ac:dyDescent="0.3">
      <c r="A14" s="60"/>
      <c r="B14" s="513"/>
      <c r="C14" s="372">
        <f ca="1">Main!C15</f>
        <v>7.5</v>
      </c>
      <c r="D14" s="373">
        <f ca="1">Main!$D$15</f>
        <v>5.0000000000000001E-3</v>
      </c>
      <c r="G14" s="370"/>
      <c r="H14" s="374">
        <f>base_year</f>
        <v>2020</v>
      </c>
      <c r="I14" s="371" t="s">
        <v>184</v>
      </c>
      <c r="J14" s="368"/>
      <c r="K14" s="368"/>
      <c r="L14" s="371"/>
      <c r="M14" s="371">
        <f ca="1">MIN(Sens_hidden!B6:B7)</f>
        <v>1.0379157174611464E-5</v>
      </c>
      <c r="N14" s="368" t="s">
        <v>164</v>
      </c>
      <c r="O14" s="368"/>
      <c r="P14" s="369"/>
    </row>
    <row r="15" spans="1:26" x14ac:dyDescent="0.25">
      <c r="A15" s="60"/>
      <c r="B15" s="513"/>
      <c r="C15" s="372">
        <f ca="1">Main!C16</f>
        <v>6</v>
      </c>
      <c r="D15" s="373">
        <f ca="1">Main!D16</f>
        <v>0.01</v>
      </c>
      <c r="G15" s="370"/>
      <c r="H15" s="375" t="s">
        <v>185</v>
      </c>
      <c r="I15" s="371"/>
      <c r="J15" s="368"/>
      <c r="K15" s="368"/>
      <c r="L15" s="371" t="s">
        <v>170</v>
      </c>
      <c r="M15" s="371"/>
      <c r="N15" s="368" t="s">
        <v>45</v>
      </c>
      <c r="O15" s="368"/>
      <c r="P15" s="369"/>
    </row>
    <row r="16" spans="1:26" x14ac:dyDescent="0.25">
      <c r="A16" s="60"/>
      <c r="B16" s="513"/>
      <c r="C16" s="372">
        <f ca="1">Main!C17</f>
        <v>4.5</v>
      </c>
      <c r="D16" s="373">
        <f ca="1">Main!D17</f>
        <v>0.02</v>
      </c>
      <c r="G16" s="370"/>
      <c r="H16" s="371"/>
      <c r="I16" s="371"/>
      <c r="J16" s="368"/>
      <c r="K16" s="368"/>
      <c r="L16" s="376" t="s">
        <v>165</v>
      </c>
      <c r="M16" s="376">
        <f ca="1">OFFSET(INDIRECT(varies_parameter),0,H14-base_year+1)</f>
        <v>0.5</v>
      </c>
      <c r="N16" s="368"/>
      <c r="O16" s="368"/>
      <c r="P16" s="369"/>
    </row>
    <row r="17" spans="1:17" x14ac:dyDescent="0.25">
      <c r="A17" s="60"/>
      <c r="B17" s="513"/>
      <c r="C17" s="372">
        <f ca="1">Main!C18</f>
        <v>3</v>
      </c>
      <c r="D17" s="373">
        <f ca="1">Main!$D$18</f>
        <v>0.04</v>
      </c>
      <c r="G17" s="370"/>
      <c r="H17" s="371"/>
      <c r="I17" s="371"/>
      <c r="J17" s="368"/>
      <c r="K17" s="368"/>
      <c r="L17" s="371" t="s">
        <v>168</v>
      </c>
      <c r="M17" s="376">
        <f ca="1">MAX(assumptions_vary_x_axis)-MIN(assumptions_vary_x_axis)</f>
        <v>1.1000000000040018</v>
      </c>
      <c r="N17" s="368"/>
      <c r="O17" s="368"/>
      <c r="P17" s="369"/>
    </row>
    <row r="18" spans="1:17" x14ac:dyDescent="0.25">
      <c r="A18" s="60"/>
      <c r="B18" s="514"/>
      <c r="C18" s="377">
        <f ca="1">Main!C19</f>
        <v>1.5</v>
      </c>
      <c r="D18" s="378">
        <f ca="1">Main!$D$19</f>
        <v>7.0000000000000007E-2</v>
      </c>
      <c r="G18" s="370"/>
      <c r="H18" s="371"/>
      <c r="I18" s="371"/>
      <c r="J18" s="368"/>
      <c r="K18" s="368"/>
      <c r="L18" s="371" t="s">
        <v>169</v>
      </c>
      <c r="M18" s="376">
        <f ca="1">M17/60</f>
        <v>1.833333333340003E-2</v>
      </c>
      <c r="N18" s="368"/>
      <c r="O18" s="368"/>
      <c r="P18" s="369"/>
    </row>
    <row r="19" spans="1:17" x14ac:dyDescent="0.25">
      <c r="A19" s="60"/>
      <c r="B19" s="326"/>
      <c r="C19" s="70"/>
      <c r="D19" s="327"/>
      <c r="G19" s="370"/>
      <c r="H19" s="371"/>
      <c r="I19" s="371"/>
      <c r="J19" s="368"/>
      <c r="K19" s="368"/>
      <c r="L19" s="371"/>
      <c r="M19" s="371"/>
      <c r="N19" s="368"/>
      <c r="O19" s="368"/>
      <c r="P19" s="369"/>
    </row>
    <row r="20" spans="1:17" x14ac:dyDescent="0.25">
      <c r="A20" s="60"/>
      <c r="B20" s="306" t="str">
        <f>Main!B21</f>
        <v>Assets</v>
      </c>
      <c r="C20" s="328">
        <f>Main!C21</f>
        <v>120</v>
      </c>
      <c r="D20" s="327"/>
      <c r="F20" s="70"/>
      <c r="G20" s="370"/>
      <c r="H20" s="371"/>
      <c r="I20" s="371"/>
      <c r="J20" s="368"/>
      <c r="K20" s="368"/>
      <c r="L20" s="371" t="s">
        <v>171</v>
      </c>
      <c r="M20" s="371">
        <f ca="1">M16-M18</f>
        <v>0.48166666666659996</v>
      </c>
      <c r="N20" s="368"/>
      <c r="O20" s="368"/>
      <c r="P20" s="369"/>
    </row>
    <row r="21" spans="1:17" ht="13" x14ac:dyDescent="0.3">
      <c r="A21" s="60"/>
      <c r="B21" s="306" t="str">
        <f>Main!B22</f>
        <v>Base year</v>
      </c>
      <c r="C21" s="328">
        <f>Main!C22</f>
        <v>2020</v>
      </c>
      <c r="D21" s="327"/>
      <c r="E21" s="25"/>
      <c r="F21" s="70"/>
      <c r="G21" s="370"/>
      <c r="H21" s="371"/>
      <c r="I21" s="371"/>
      <c r="J21" s="368"/>
      <c r="K21" s="368"/>
      <c r="L21" s="371" t="s">
        <v>172</v>
      </c>
      <c r="M21" s="371">
        <f ca="1">M16+M18</f>
        <v>0.51833333333340004</v>
      </c>
      <c r="N21" s="368"/>
      <c r="O21" s="368"/>
      <c r="P21" s="369"/>
    </row>
    <row r="22" spans="1:17" x14ac:dyDescent="0.25">
      <c r="A22" s="60"/>
      <c r="B22" s="306" t="str">
        <f>Main!B23</f>
        <v>Length of initial phase (yrs)</v>
      </c>
      <c r="C22" s="328">
        <f>Main!C23</f>
        <v>3</v>
      </c>
      <c r="D22" s="327"/>
      <c r="F22" s="70"/>
      <c r="G22" s="370"/>
      <c r="H22" s="379">
        <f>H14-base_year+1</f>
        <v>1</v>
      </c>
      <c r="I22" s="371" t="str">
        <f ca="1">"(in base year) as function of "  &amp; LOWER(F185)</f>
        <v>(in base year) as function of debt / equity ratio</v>
      </c>
      <c r="J22" s="371"/>
      <c r="K22" s="371"/>
      <c r="L22" s="371"/>
      <c r="M22" s="380">
        <f>IF(J5="Initial",1,2)</f>
        <v>1</v>
      </c>
      <c r="N22" s="368"/>
      <c r="O22" s="368"/>
      <c r="P22" s="369"/>
    </row>
    <row r="23" spans="1:17" x14ac:dyDescent="0.25">
      <c r="A23" s="60"/>
      <c r="B23" s="306" t="str">
        <f>Main!B24</f>
        <v>Length of fade period (yrs)</v>
      </c>
      <c r="C23" s="328">
        <f>Main!$C$24</f>
        <v>3</v>
      </c>
      <c r="D23" s="327"/>
      <c r="F23" s="70"/>
      <c r="G23" s="370"/>
      <c r="H23" s="371" t="str">
        <f ca="1">F185&amp; " in " &amp;H14</f>
        <v>Debt / equity ratio in 2020</v>
      </c>
      <c r="I23" s="371"/>
      <c r="J23" s="371"/>
      <c r="K23" s="371" t="s">
        <v>231</v>
      </c>
      <c r="L23" s="371"/>
      <c r="M23" s="547" t="str">
        <f ca="1">Main!W318</f>
        <v/>
      </c>
      <c r="N23" s="547"/>
      <c r="O23" s="547"/>
      <c r="P23" s="548"/>
    </row>
    <row r="24" spans="1:17" ht="13" thickBot="1" x14ac:dyDescent="0.3">
      <c r="A24" s="60"/>
      <c r="B24" s="329" t="str">
        <f>Main!B25</f>
        <v>Chosen scenario (1 or 2)</v>
      </c>
      <c r="C24" s="330">
        <f>Main!$I$168</f>
        <v>1</v>
      </c>
      <c r="D24" s="331"/>
      <c r="F24" s="70"/>
      <c r="G24" s="381"/>
      <c r="H24" s="382"/>
      <c r="I24" s="382"/>
      <c r="J24" s="382"/>
      <c r="K24" s="382"/>
      <c r="L24" s="382"/>
      <c r="M24" s="382"/>
      <c r="N24" s="383"/>
      <c r="O24" s="383"/>
      <c r="P24" s="384"/>
      <c r="Q24" s="36"/>
    </row>
    <row r="25" spans="1:17" ht="13" thickBot="1" x14ac:dyDescent="0.3">
      <c r="A25" s="60"/>
      <c r="B25" s="70"/>
      <c r="C25" s="70"/>
      <c r="D25" s="70"/>
      <c r="E25" s="70"/>
      <c r="F25" s="60"/>
      <c r="G25" s="60"/>
      <c r="H25" s="60"/>
      <c r="I25" s="60"/>
      <c r="J25" s="60"/>
      <c r="K25" s="60"/>
      <c r="L25" s="60"/>
      <c r="M25" s="60"/>
      <c r="N25" s="60"/>
      <c r="O25" s="60"/>
    </row>
    <row r="26" spans="1:17" x14ac:dyDescent="0.25">
      <c r="B26" s="501" t="s">
        <v>16</v>
      </c>
      <c r="C26" s="539"/>
      <c r="D26" s="539"/>
      <c r="E26" s="539"/>
      <c r="F26" s="539"/>
      <c r="G26" s="539"/>
      <c r="H26" s="505"/>
      <c r="J26" s="501" t="s">
        <v>13</v>
      </c>
      <c r="K26" s="502"/>
      <c r="L26" s="502"/>
      <c r="M26" s="502"/>
      <c r="N26" s="502"/>
      <c r="O26" s="502"/>
      <c r="P26" s="503"/>
    </row>
    <row r="27" spans="1:17" x14ac:dyDescent="0.25">
      <c r="B27" s="352"/>
      <c r="C27" s="309"/>
      <c r="D27" s="309"/>
      <c r="E27" s="309"/>
      <c r="F27" s="309"/>
      <c r="G27" s="309"/>
      <c r="H27" s="385"/>
      <c r="J27" s="352"/>
      <c r="K27" s="309"/>
      <c r="L27" s="309"/>
      <c r="M27" s="309"/>
      <c r="N27" s="309"/>
      <c r="O27" s="309"/>
      <c r="P27" s="385"/>
    </row>
    <row r="28" spans="1:17" x14ac:dyDescent="0.25">
      <c r="B28" s="352"/>
      <c r="C28" s="309"/>
      <c r="D28" s="309"/>
      <c r="E28" s="309"/>
      <c r="F28" s="309"/>
      <c r="G28" s="309"/>
      <c r="H28" s="385"/>
      <c r="J28" s="352"/>
      <c r="K28" s="309"/>
      <c r="L28" s="309"/>
      <c r="M28" s="309"/>
      <c r="N28" s="309"/>
      <c r="O28" s="309"/>
      <c r="P28" s="385"/>
    </row>
    <row r="29" spans="1:17" x14ac:dyDescent="0.25">
      <c r="B29" s="386"/>
      <c r="C29" s="387" t="s">
        <v>166</v>
      </c>
      <c r="D29" s="543" t="s">
        <v>193</v>
      </c>
      <c r="E29" s="544"/>
      <c r="F29" s="544"/>
      <c r="G29" s="544"/>
      <c r="H29" s="385"/>
      <c r="J29" s="386"/>
      <c r="K29" s="387"/>
      <c r="L29" s="387"/>
      <c r="M29" s="387"/>
      <c r="N29" s="387"/>
      <c r="O29" s="387"/>
      <c r="P29" s="385"/>
    </row>
    <row r="30" spans="1:17" x14ac:dyDescent="0.25">
      <c r="B30" s="386"/>
      <c r="C30" s="387" t="s">
        <v>167</v>
      </c>
      <c r="D30" s="389" t="s">
        <v>194</v>
      </c>
      <c r="E30" s="387"/>
      <c r="F30" s="387"/>
      <c r="G30" s="387"/>
      <c r="H30" s="385"/>
      <c r="J30" s="386"/>
      <c r="K30" s="387"/>
      <c r="L30" s="387"/>
      <c r="M30" s="387"/>
      <c r="N30" s="387"/>
      <c r="O30" s="387"/>
      <c r="P30" s="385"/>
      <c r="Q30" s="36"/>
    </row>
    <row r="31" spans="1:17" x14ac:dyDescent="0.25">
      <c r="B31" s="386"/>
      <c r="C31" s="387" t="s">
        <v>173</v>
      </c>
      <c r="D31" s="389" t="s">
        <v>195</v>
      </c>
      <c r="E31" s="387"/>
      <c r="F31" s="387"/>
      <c r="G31" s="387"/>
      <c r="H31" s="385"/>
      <c r="J31" s="386"/>
      <c r="K31" s="387"/>
      <c r="L31" s="390"/>
      <c r="M31" s="387"/>
      <c r="N31" s="387"/>
      <c r="O31" s="387"/>
      <c r="P31" s="385"/>
      <c r="Q31" s="36"/>
    </row>
    <row r="32" spans="1:17" x14ac:dyDescent="0.25">
      <c r="B32" s="386"/>
      <c r="C32" s="387"/>
      <c r="D32" s="390"/>
      <c r="E32" s="387"/>
      <c r="F32" s="387"/>
      <c r="G32" s="387"/>
      <c r="H32" s="385"/>
      <c r="J32" s="386"/>
      <c r="K32" s="387"/>
      <c r="L32" s="390"/>
      <c r="M32" s="387"/>
      <c r="N32" s="387"/>
      <c r="O32" s="387"/>
      <c r="P32" s="385"/>
      <c r="Q32" s="36"/>
    </row>
    <row r="33" spans="2:16" x14ac:dyDescent="0.25">
      <c r="B33" s="386"/>
      <c r="C33" s="387"/>
      <c r="D33" s="390"/>
      <c r="E33" s="387"/>
      <c r="F33" s="387"/>
      <c r="G33" s="387"/>
      <c r="H33" s="385"/>
      <c r="J33" s="386"/>
      <c r="K33" s="387"/>
      <c r="L33" s="390"/>
      <c r="M33" s="387"/>
      <c r="N33" s="387"/>
      <c r="O33" s="387"/>
      <c r="P33" s="385"/>
    </row>
    <row r="34" spans="2:16" x14ac:dyDescent="0.25">
      <c r="B34" s="386"/>
      <c r="C34" s="387"/>
      <c r="D34" s="390"/>
      <c r="E34" s="387"/>
      <c r="F34" s="387"/>
      <c r="G34" s="387"/>
      <c r="H34" s="385"/>
      <c r="J34" s="386"/>
      <c r="K34" s="387"/>
      <c r="L34" s="390"/>
      <c r="M34" s="387"/>
      <c r="N34" s="387"/>
      <c r="O34" s="387"/>
      <c r="P34" s="385"/>
    </row>
    <row r="35" spans="2:16" x14ac:dyDescent="0.25">
      <c r="B35" s="386"/>
      <c r="C35" s="387" t="s">
        <v>175</v>
      </c>
      <c r="D35" s="390"/>
      <c r="E35" s="387"/>
      <c r="F35" s="387"/>
      <c r="G35" s="387"/>
      <c r="H35" s="385"/>
      <c r="J35" s="386"/>
      <c r="K35" s="387"/>
      <c r="L35" s="387"/>
      <c r="M35" s="387"/>
      <c r="N35" s="387"/>
      <c r="O35" s="387"/>
      <c r="P35" s="385"/>
    </row>
    <row r="36" spans="2:16" x14ac:dyDescent="0.25">
      <c r="B36" s="386"/>
      <c r="C36" s="391" t="s">
        <v>201</v>
      </c>
      <c r="D36" s="389" t="s">
        <v>196</v>
      </c>
      <c r="E36" s="387"/>
      <c r="F36" s="387"/>
      <c r="G36" s="387"/>
      <c r="H36" s="385"/>
      <c r="J36" s="386"/>
      <c r="K36" s="387"/>
      <c r="L36" s="387"/>
      <c r="M36" s="387"/>
      <c r="N36" s="387"/>
      <c r="O36" s="387"/>
      <c r="P36" s="385"/>
    </row>
    <row r="37" spans="2:16" x14ac:dyDescent="0.25">
      <c r="B37" s="386"/>
      <c r="C37" s="391" t="s">
        <v>202</v>
      </c>
      <c r="D37" s="389" t="s">
        <v>197</v>
      </c>
      <c r="E37" s="387"/>
      <c r="F37" s="387"/>
      <c r="G37" s="387"/>
      <c r="H37" s="385"/>
      <c r="J37" s="386"/>
      <c r="K37" s="387"/>
      <c r="L37" s="387"/>
      <c r="M37" s="387"/>
      <c r="N37" s="387"/>
      <c r="O37" s="387"/>
      <c r="P37" s="385"/>
    </row>
    <row r="38" spans="2:16" x14ac:dyDescent="0.25">
      <c r="B38" s="386"/>
      <c r="C38" s="387" t="s">
        <v>176</v>
      </c>
      <c r="D38" s="390"/>
      <c r="E38" s="387"/>
      <c r="F38" s="387"/>
      <c r="G38" s="387"/>
      <c r="H38" s="385"/>
      <c r="J38" s="386"/>
      <c r="K38" s="387"/>
      <c r="L38" s="387"/>
      <c r="M38" s="387"/>
      <c r="N38" s="387"/>
      <c r="O38" s="387"/>
      <c r="P38" s="385"/>
    </row>
    <row r="39" spans="2:16" x14ac:dyDescent="0.25">
      <c r="B39" s="386"/>
      <c r="C39" s="391" t="s">
        <v>203</v>
      </c>
      <c r="D39" s="389" t="s">
        <v>198</v>
      </c>
      <c r="E39" s="387"/>
      <c r="F39" s="387"/>
      <c r="G39" s="387"/>
      <c r="H39" s="385"/>
      <c r="J39" s="392"/>
      <c r="K39" s="387"/>
      <c r="L39" s="387"/>
      <c r="M39" s="387"/>
      <c r="N39" s="387"/>
      <c r="O39" s="387"/>
      <c r="P39" s="385"/>
    </row>
    <row r="40" spans="2:16" x14ac:dyDescent="0.25">
      <c r="B40" s="386"/>
      <c r="C40" s="391" t="s">
        <v>204</v>
      </c>
      <c r="D40" s="389" t="s">
        <v>199</v>
      </c>
      <c r="E40" s="387"/>
      <c r="F40" s="387"/>
      <c r="G40" s="387"/>
      <c r="H40" s="385"/>
      <c r="J40" s="386"/>
      <c r="K40" s="387"/>
      <c r="L40" s="387"/>
      <c r="M40" s="387"/>
      <c r="N40" s="387"/>
      <c r="O40" s="387"/>
      <c r="P40" s="385"/>
    </row>
    <row r="41" spans="2:16" x14ac:dyDescent="0.25">
      <c r="B41" s="386"/>
      <c r="C41" s="387" t="s">
        <v>177</v>
      </c>
      <c r="D41" s="390"/>
      <c r="E41" s="387"/>
      <c r="F41" s="387"/>
      <c r="G41" s="387"/>
      <c r="H41" s="385"/>
      <c r="J41" s="386"/>
      <c r="K41" s="387"/>
      <c r="L41" s="387"/>
      <c r="M41" s="387"/>
      <c r="N41" s="387"/>
      <c r="O41" s="387"/>
      <c r="P41" s="385"/>
    </row>
    <row r="42" spans="2:16" x14ac:dyDescent="0.25">
      <c r="B42" s="386"/>
      <c r="C42" s="391" t="s">
        <v>202</v>
      </c>
      <c r="D42" s="389" t="s">
        <v>200</v>
      </c>
      <c r="E42" s="387"/>
      <c r="F42" s="387"/>
      <c r="G42" s="387"/>
      <c r="H42" s="385"/>
      <c r="J42" s="386"/>
      <c r="K42" s="387"/>
      <c r="L42" s="387"/>
      <c r="M42" s="387"/>
      <c r="N42" s="387"/>
      <c r="O42" s="387"/>
      <c r="P42" s="385"/>
    </row>
    <row r="43" spans="2:16" x14ac:dyDescent="0.25">
      <c r="B43" s="386"/>
      <c r="C43" s="391"/>
      <c r="D43" s="389"/>
      <c r="E43" s="387"/>
      <c r="F43" s="387"/>
      <c r="G43" s="387"/>
      <c r="H43" s="385"/>
      <c r="J43" s="386"/>
      <c r="K43" s="387"/>
      <c r="L43" s="387"/>
      <c r="M43" s="387"/>
      <c r="N43" s="387"/>
      <c r="O43" s="387"/>
      <c r="P43" s="385"/>
    </row>
    <row r="44" spans="2:16" x14ac:dyDescent="0.25">
      <c r="B44" s="386"/>
      <c r="C44" s="391" t="s">
        <v>205</v>
      </c>
      <c r="D44" s="389" t="s">
        <v>197</v>
      </c>
      <c r="E44" s="387"/>
      <c r="F44" s="387"/>
      <c r="G44" s="387"/>
      <c r="H44" s="385"/>
      <c r="J44" s="386"/>
      <c r="K44" s="387"/>
      <c r="L44" s="387"/>
      <c r="M44" s="387"/>
      <c r="N44" s="387"/>
      <c r="O44" s="387"/>
      <c r="P44" s="385"/>
    </row>
    <row r="45" spans="2:16" x14ac:dyDescent="0.25">
      <c r="B45" s="386"/>
      <c r="C45" s="387"/>
      <c r="D45" s="387"/>
      <c r="E45" s="387"/>
      <c r="F45" s="387"/>
      <c r="G45" s="387"/>
      <c r="H45" s="385"/>
      <c r="J45" s="386"/>
      <c r="K45" s="387"/>
      <c r="L45" s="387"/>
      <c r="M45" s="387"/>
      <c r="N45" s="387"/>
      <c r="O45" s="387"/>
      <c r="P45" s="385"/>
    </row>
    <row r="46" spans="2:16" ht="13" thickBot="1" x14ac:dyDescent="0.3">
      <c r="B46" s="393"/>
      <c r="C46" s="394"/>
      <c r="D46" s="394"/>
      <c r="E46" s="394"/>
      <c r="F46" s="394"/>
      <c r="G46" s="394"/>
      <c r="H46" s="395"/>
      <c r="J46" s="393"/>
      <c r="K46" s="394"/>
      <c r="L46" s="394"/>
      <c r="M46" s="394"/>
      <c r="N46" s="394"/>
      <c r="O46" s="394"/>
      <c r="P46" s="395"/>
    </row>
    <row r="47" spans="2:16" ht="13" thickBot="1" x14ac:dyDescent="0.3"/>
    <row r="48" spans="2:16" x14ac:dyDescent="0.25">
      <c r="B48" s="501" t="s">
        <v>17</v>
      </c>
      <c r="C48" s="502"/>
      <c r="D48" s="502"/>
      <c r="E48" s="502"/>
      <c r="F48" s="502"/>
      <c r="G48" s="502"/>
      <c r="H48" s="503"/>
      <c r="J48" s="501" t="s">
        <v>18</v>
      </c>
      <c r="K48" s="502"/>
      <c r="L48" s="502"/>
      <c r="M48" s="502"/>
      <c r="N48" s="502"/>
      <c r="O48" s="502"/>
      <c r="P48" s="503"/>
    </row>
    <row r="49" spans="2:17" x14ac:dyDescent="0.25">
      <c r="B49" s="352"/>
      <c r="C49" s="387"/>
      <c r="D49" s="387"/>
      <c r="E49" s="387"/>
      <c r="F49" s="387"/>
      <c r="G49" s="387"/>
      <c r="H49" s="385"/>
      <c r="J49" s="352"/>
      <c r="K49" s="309"/>
      <c r="L49" s="309"/>
      <c r="M49" s="309"/>
      <c r="N49" s="309"/>
      <c r="O49" s="309"/>
      <c r="P49" s="385"/>
      <c r="Q49" s="36"/>
    </row>
    <row r="50" spans="2:17" x14ac:dyDescent="0.25">
      <c r="B50" s="386"/>
      <c r="C50" s="387"/>
      <c r="D50" s="390"/>
      <c r="E50" s="387"/>
      <c r="F50" s="387"/>
      <c r="G50" s="387"/>
      <c r="H50" s="385"/>
      <c r="J50" s="352"/>
      <c r="K50" s="309"/>
      <c r="L50" s="309"/>
      <c r="M50" s="309"/>
      <c r="N50" s="309"/>
      <c r="O50" s="309"/>
      <c r="P50" s="385"/>
      <c r="Q50" s="36"/>
    </row>
    <row r="51" spans="2:17" x14ac:dyDescent="0.25">
      <c r="B51" s="386"/>
      <c r="C51" s="387"/>
      <c r="D51" s="390"/>
      <c r="E51" s="387"/>
      <c r="F51" s="387"/>
      <c r="G51" s="387"/>
      <c r="H51" s="385"/>
      <c r="J51" s="396"/>
      <c r="K51" s="388"/>
      <c r="L51" s="388"/>
      <c r="M51" s="388"/>
      <c r="N51" s="388"/>
      <c r="O51" s="388"/>
      <c r="P51" s="385"/>
      <c r="Q51" s="36"/>
    </row>
    <row r="52" spans="2:17" x14ac:dyDescent="0.25">
      <c r="B52" s="386"/>
      <c r="C52" s="387"/>
      <c r="D52" s="390"/>
      <c r="E52" s="387"/>
      <c r="F52" s="387"/>
      <c r="G52" s="387"/>
      <c r="H52" s="385"/>
      <c r="J52" s="396"/>
      <c r="K52" s="388"/>
      <c r="L52" s="388"/>
      <c r="M52" s="388"/>
      <c r="N52" s="388"/>
      <c r="O52" s="388"/>
      <c r="P52" s="385"/>
      <c r="Q52" s="36"/>
    </row>
    <row r="53" spans="2:17" x14ac:dyDescent="0.25">
      <c r="B53" s="386"/>
      <c r="C53" s="387"/>
      <c r="D53" s="390"/>
      <c r="E53" s="387"/>
      <c r="F53" s="387"/>
      <c r="G53" s="387"/>
      <c r="H53" s="385"/>
      <c r="J53" s="396"/>
      <c r="K53" s="388"/>
      <c r="L53" s="388"/>
      <c r="M53" s="388"/>
      <c r="N53" s="388"/>
      <c r="O53" s="388"/>
      <c r="P53" s="385"/>
      <c r="Q53" s="36"/>
    </row>
    <row r="54" spans="2:17" x14ac:dyDescent="0.25">
      <c r="B54" s="386"/>
      <c r="C54" s="387"/>
      <c r="D54" s="390"/>
      <c r="E54" s="387"/>
      <c r="F54" s="387"/>
      <c r="G54" s="387"/>
      <c r="H54" s="385"/>
      <c r="J54" s="386"/>
      <c r="K54" s="387"/>
      <c r="L54" s="390"/>
      <c r="M54" s="387"/>
      <c r="N54" s="387"/>
      <c r="O54" s="387"/>
      <c r="P54" s="385"/>
    </row>
    <row r="55" spans="2:17" x14ac:dyDescent="0.25">
      <c r="B55" s="386"/>
      <c r="C55" s="387"/>
      <c r="D55" s="390"/>
      <c r="E55" s="387"/>
      <c r="F55" s="387"/>
      <c r="G55" s="387"/>
      <c r="H55" s="385"/>
      <c r="J55" s="386"/>
      <c r="K55" s="387"/>
      <c r="L55" s="390"/>
      <c r="M55" s="387"/>
      <c r="N55" s="387"/>
      <c r="O55" s="387"/>
      <c r="P55" s="385"/>
    </row>
    <row r="56" spans="2:17" x14ac:dyDescent="0.25">
      <c r="B56" s="386"/>
      <c r="C56" s="387"/>
      <c r="D56" s="390"/>
      <c r="E56" s="387"/>
      <c r="F56" s="387"/>
      <c r="G56" s="387"/>
      <c r="H56" s="385"/>
      <c r="J56" s="386"/>
      <c r="K56" s="387"/>
      <c r="L56" s="390"/>
      <c r="M56" s="387"/>
      <c r="N56" s="387"/>
      <c r="O56" s="387"/>
      <c r="P56" s="385"/>
    </row>
    <row r="57" spans="2:17" x14ac:dyDescent="0.25">
      <c r="B57" s="386"/>
      <c r="C57" s="387"/>
      <c r="D57" s="390"/>
      <c r="E57" s="387"/>
      <c r="F57" s="387"/>
      <c r="G57" s="387"/>
      <c r="H57" s="385"/>
      <c r="J57" s="386"/>
      <c r="K57" s="387"/>
      <c r="L57" s="390"/>
      <c r="M57" s="387"/>
      <c r="N57" s="387"/>
      <c r="O57" s="387"/>
      <c r="P57" s="385"/>
    </row>
    <row r="58" spans="2:17" x14ac:dyDescent="0.25">
      <c r="B58" s="386"/>
      <c r="C58" s="387"/>
      <c r="D58" s="390"/>
      <c r="E58" s="387"/>
      <c r="F58" s="387"/>
      <c r="G58" s="387"/>
      <c r="H58" s="385"/>
      <c r="J58" s="386"/>
      <c r="K58" s="387"/>
      <c r="L58" s="390"/>
      <c r="M58" s="387"/>
      <c r="N58" s="387"/>
      <c r="O58" s="387"/>
      <c r="P58" s="385"/>
    </row>
    <row r="59" spans="2:17" x14ac:dyDescent="0.25">
      <c r="B59" s="386"/>
      <c r="C59" s="387"/>
      <c r="D59" s="390"/>
      <c r="E59" s="387"/>
      <c r="F59" s="387"/>
      <c r="G59" s="387"/>
      <c r="H59" s="385"/>
      <c r="J59" s="386"/>
      <c r="K59" s="387"/>
      <c r="L59" s="390"/>
      <c r="M59" s="387"/>
      <c r="N59" s="387"/>
      <c r="O59" s="387"/>
      <c r="P59" s="385"/>
    </row>
    <row r="60" spans="2:17" x14ac:dyDescent="0.25">
      <c r="B60" s="386"/>
      <c r="C60" s="387"/>
      <c r="D60" s="390"/>
      <c r="E60" s="387"/>
      <c r="F60" s="387"/>
      <c r="G60" s="387"/>
      <c r="H60" s="385"/>
      <c r="J60" s="386"/>
      <c r="K60" s="387"/>
      <c r="L60" s="390"/>
      <c r="M60" s="387"/>
      <c r="N60" s="387"/>
      <c r="O60" s="387"/>
      <c r="P60" s="385"/>
    </row>
    <row r="61" spans="2:17" x14ac:dyDescent="0.25">
      <c r="B61" s="386"/>
      <c r="C61" s="387"/>
      <c r="D61" s="390"/>
      <c r="E61" s="387"/>
      <c r="F61" s="387"/>
      <c r="G61" s="387"/>
      <c r="H61" s="385"/>
      <c r="J61" s="386"/>
      <c r="K61" s="387"/>
      <c r="L61" s="390"/>
      <c r="M61" s="387"/>
      <c r="N61" s="387"/>
      <c r="O61" s="387"/>
      <c r="P61" s="385"/>
    </row>
    <row r="62" spans="2:17" x14ac:dyDescent="0.25">
      <c r="B62" s="386"/>
      <c r="C62" s="387"/>
      <c r="D62" s="390"/>
      <c r="E62" s="387"/>
      <c r="F62" s="387"/>
      <c r="G62" s="387"/>
      <c r="H62" s="385"/>
      <c r="J62" s="386"/>
      <c r="K62" s="387"/>
      <c r="L62" s="390"/>
      <c r="M62" s="387"/>
      <c r="N62" s="387"/>
      <c r="O62" s="387"/>
      <c r="P62" s="385"/>
    </row>
    <row r="63" spans="2:17" x14ac:dyDescent="0.25">
      <c r="B63" s="386"/>
      <c r="C63" s="387"/>
      <c r="D63" s="390"/>
      <c r="E63" s="387"/>
      <c r="F63" s="387"/>
      <c r="G63" s="387"/>
      <c r="H63" s="385"/>
      <c r="J63" s="386"/>
      <c r="K63" s="387"/>
      <c r="L63" s="390"/>
      <c r="M63" s="387"/>
      <c r="N63" s="387"/>
      <c r="O63" s="387"/>
      <c r="P63" s="385"/>
    </row>
    <row r="64" spans="2:17" x14ac:dyDescent="0.25">
      <c r="B64" s="386"/>
      <c r="C64" s="387"/>
      <c r="D64" s="390"/>
      <c r="E64" s="387"/>
      <c r="F64" s="387"/>
      <c r="G64" s="387"/>
      <c r="H64" s="385"/>
      <c r="J64" s="386"/>
      <c r="K64" s="387"/>
      <c r="L64" s="390"/>
      <c r="M64" s="387"/>
      <c r="N64" s="387"/>
      <c r="O64" s="387"/>
      <c r="P64" s="385"/>
    </row>
    <row r="65" spans="2:16" x14ac:dyDescent="0.25">
      <c r="B65" s="386"/>
      <c r="C65" s="387"/>
      <c r="D65" s="390"/>
      <c r="E65" s="387"/>
      <c r="F65" s="387"/>
      <c r="G65" s="387"/>
      <c r="H65" s="385"/>
      <c r="J65" s="386"/>
      <c r="K65" s="387"/>
      <c r="L65" s="390"/>
      <c r="M65" s="387"/>
      <c r="N65" s="387"/>
      <c r="O65" s="387"/>
      <c r="P65" s="385"/>
    </row>
    <row r="66" spans="2:16" x14ac:dyDescent="0.25">
      <c r="B66" s="386"/>
      <c r="C66" s="387"/>
      <c r="D66" s="387"/>
      <c r="E66" s="387"/>
      <c r="F66" s="387"/>
      <c r="G66" s="387"/>
      <c r="H66" s="385"/>
      <c r="J66" s="386"/>
      <c r="K66" s="387"/>
      <c r="L66" s="390"/>
      <c r="M66" s="387"/>
      <c r="N66" s="387"/>
      <c r="O66" s="387"/>
      <c r="P66" s="385"/>
    </row>
    <row r="67" spans="2:16" x14ac:dyDescent="0.25">
      <c r="B67" s="392"/>
      <c r="C67" s="387"/>
      <c r="D67" s="387"/>
      <c r="E67" s="387"/>
      <c r="F67" s="387"/>
      <c r="G67" s="387"/>
      <c r="H67" s="385"/>
      <c r="J67" s="386"/>
      <c r="K67" s="387"/>
      <c r="L67" s="387"/>
      <c r="M67" s="387"/>
      <c r="N67" s="387"/>
      <c r="O67" s="387"/>
      <c r="P67" s="385"/>
    </row>
    <row r="68" spans="2:16" ht="13" thickBot="1" x14ac:dyDescent="0.3">
      <c r="B68" s="397"/>
      <c r="C68" s="394"/>
      <c r="D68" s="394"/>
      <c r="E68" s="394"/>
      <c r="F68" s="394"/>
      <c r="G68" s="394"/>
      <c r="H68" s="395"/>
      <c r="J68" s="393"/>
      <c r="K68" s="394"/>
      <c r="L68" s="394"/>
      <c r="M68" s="394"/>
      <c r="N68" s="394"/>
      <c r="O68" s="394"/>
      <c r="P68" s="395"/>
    </row>
    <row r="69" spans="2:16" x14ac:dyDescent="0.25">
      <c r="B69" s="29"/>
    </row>
    <row r="70" spans="2:16" x14ac:dyDescent="0.25">
      <c r="B70" s="545" t="s">
        <v>19</v>
      </c>
      <c r="C70" s="546"/>
      <c r="D70" s="546"/>
      <c r="E70" s="546"/>
      <c r="F70" s="546"/>
      <c r="G70" s="546"/>
      <c r="H70" s="546"/>
      <c r="I70" s="546"/>
      <c r="J70" s="546"/>
      <c r="K70" s="546"/>
      <c r="L70" s="546"/>
      <c r="M70" s="546"/>
      <c r="N70" s="546"/>
      <c r="O70" s="546"/>
      <c r="P70" s="546"/>
    </row>
    <row r="71" spans="2:16" x14ac:dyDescent="0.25">
      <c r="B71" s="398"/>
      <c r="C71" s="398"/>
      <c r="D71" s="398"/>
      <c r="E71" s="398"/>
      <c r="F71" s="398"/>
      <c r="G71" s="398"/>
      <c r="H71" s="399"/>
      <c r="J71" s="398"/>
      <c r="K71" s="398"/>
      <c r="L71" s="398"/>
      <c r="M71" s="398"/>
      <c r="N71" s="398"/>
      <c r="O71" s="398"/>
      <c r="P71" s="399"/>
    </row>
    <row r="72" spans="2:16" x14ac:dyDescent="0.25">
      <c r="B72" s="398"/>
      <c r="C72" s="398"/>
      <c r="D72" s="398"/>
      <c r="E72" s="398"/>
      <c r="F72" s="398"/>
      <c r="G72" s="398"/>
      <c r="H72" s="399"/>
      <c r="J72" s="398"/>
      <c r="K72" s="398"/>
      <c r="L72" s="398"/>
      <c r="M72" s="398"/>
      <c r="N72" s="398"/>
      <c r="O72" s="398"/>
      <c r="P72" s="399"/>
    </row>
    <row r="73" spans="2:16" x14ac:dyDescent="0.25">
      <c r="B73" s="400"/>
      <c r="C73" s="400"/>
      <c r="D73" s="400"/>
      <c r="E73" s="400"/>
      <c r="F73" s="400"/>
      <c r="G73" s="400"/>
      <c r="H73" s="399"/>
      <c r="J73" s="400"/>
      <c r="K73" s="400"/>
      <c r="L73" s="400"/>
      <c r="M73" s="400"/>
      <c r="N73" s="400"/>
      <c r="O73" s="400"/>
      <c r="P73" s="399"/>
    </row>
    <row r="74" spans="2:16" x14ac:dyDescent="0.25">
      <c r="B74" s="400"/>
      <c r="C74" s="400"/>
      <c r="D74" s="400"/>
      <c r="E74" s="400"/>
      <c r="F74" s="400"/>
      <c r="G74" s="400"/>
      <c r="H74" s="399"/>
      <c r="J74" s="400"/>
      <c r="K74" s="400"/>
      <c r="L74" s="400"/>
      <c r="M74" s="400"/>
      <c r="N74" s="400"/>
      <c r="O74" s="400"/>
      <c r="P74" s="399"/>
    </row>
    <row r="75" spans="2:16" x14ac:dyDescent="0.25">
      <c r="B75" s="400"/>
      <c r="C75" s="400"/>
      <c r="D75" s="400"/>
      <c r="E75" s="400"/>
      <c r="F75" s="400"/>
      <c r="G75" s="400"/>
      <c r="H75" s="399"/>
      <c r="J75" s="400"/>
      <c r="K75" s="400"/>
      <c r="L75" s="400"/>
      <c r="M75" s="400"/>
      <c r="N75" s="400"/>
      <c r="O75" s="400"/>
      <c r="P75" s="399"/>
    </row>
    <row r="76" spans="2:16" x14ac:dyDescent="0.25">
      <c r="B76" s="399"/>
      <c r="C76" s="387"/>
      <c r="D76" s="390"/>
      <c r="E76" s="399"/>
      <c r="F76" s="399"/>
      <c r="G76" s="399"/>
      <c r="H76" s="399"/>
      <c r="J76" s="399"/>
      <c r="K76" s="387"/>
      <c r="L76" s="390"/>
      <c r="M76" s="399"/>
      <c r="N76" s="399"/>
      <c r="O76" s="399"/>
      <c r="P76" s="399"/>
    </row>
    <row r="77" spans="2:16" x14ac:dyDescent="0.25">
      <c r="B77" s="399"/>
      <c r="C77" s="387"/>
      <c r="D77" s="390"/>
      <c r="E77" s="399"/>
      <c r="F77" s="399"/>
      <c r="G77" s="399"/>
      <c r="H77" s="399"/>
      <c r="J77" s="399"/>
      <c r="K77" s="387"/>
      <c r="L77" s="390"/>
      <c r="M77" s="399"/>
      <c r="N77" s="399"/>
      <c r="O77" s="399"/>
      <c r="P77" s="399"/>
    </row>
    <row r="78" spans="2:16" x14ac:dyDescent="0.25">
      <c r="B78" s="399"/>
      <c r="C78" s="399"/>
      <c r="D78" s="401"/>
      <c r="E78" s="399"/>
      <c r="F78" s="399"/>
      <c r="G78" s="399"/>
      <c r="H78" s="399"/>
      <c r="J78" s="399"/>
      <c r="K78" s="399"/>
      <c r="L78" s="401"/>
      <c r="M78" s="399"/>
      <c r="N78" s="399"/>
      <c r="O78" s="399"/>
      <c r="P78" s="399"/>
    </row>
    <row r="79" spans="2:16" x14ac:dyDescent="0.25">
      <c r="B79" s="399"/>
      <c r="C79" s="399"/>
      <c r="D79" s="401"/>
      <c r="E79" s="399"/>
      <c r="F79" s="399"/>
      <c r="G79" s="399"/>
      <c r="H79" s="399"/>
      <c r="J79" s="399"/>
      <c r="K79" s="399"/>
      <c r="L79" s="401"/>
      <c r="M79" s="399"/>
      <c r="N79" s="399"/>
      <c r="O79" s="399"/>
      <c r="P79" s="399"/>
    </row>
    <row r="80" spans="2:16" x14ac:dyDescent="0.25">
      <c r="B80" s="399"/>
      <c r="C80" s="387"/>
      <c r="D80" s="390"/>
      <c r="E80" s="399"/>
      <c r="F80" s="399"/>
      <c r="G80" s="399"/>
      <c r="H80" s="399"/>
      <c r="J80" s="399"/>
      <c r="K80" s="387"/>
      <c r="L80" s="390"/>
      <c r="M80" s="399"/>
      <c r="N80" s="399"/>
      <c r="O80" s="399"/>
      <c r="P80" s="399"/>
    </row>
    <row r="81" spans="2:16" x14ac:dyDescent="0.25">
      <c r="B81" s="399"/>
      <c r="C81" s="387"/>
      <c r="D81" s="390"/>
      <c r="E81" s="399"/>
      <c r="F81" s="399"/>
      <c r="G81" s="399"/>
      <c r="H81" s="399"/>
      <c r="J81" s="399"/>
      <c r="K81" s="387"/>
      <c r="L81" s="390"/>
      <c r="M81" s="399"/>
      <c r="N81" s="399"/>
      <c r="O81" s="399"/>
      <c r="P81" s="399"/>
    </row>
    <row r="82" spans="2:16" x14ac:dyDescent="0.25">
      <c r="B82" s="399"/>
      <c r="C82" s="387"/>
      <c r="D82" s="390"/>
      <c r="E82" s="399"/>
      <c r="F82" s="399"/>
      <c r="G82" s="399"/>
      <c r="H82" s="399"/>
      <c r="J82" s="399"/>
      <c r="K82" s="387"/>
      <c r="L82" s="390"/>
      <c r="M82" s="399"/>
      <c r="N82" s="399"/>
      <c r="O82" s="399"/>
      <c r="P82" s="399"/>
    </row>
    <row r="83" spans="2:16" x14ac:dyDescent="0.25">
      <c r="B83" s="399"/>
      <c r="C83" s="387"/>
      <c r="D83" s="390"/>
      <c r="E83" s="399"/>
      <c r="F83" s="399"/>
      <c r="G83" s="399"/>
      <c r="H83" s="399"/>
      <c r="J83" s="399"/>
      <c r="K83" s="387"/>
      <c r="L83" s="390"/>
      <c r="M83" s="399"/>
      <c r="N83" s="399"/>
      <c r="O83" s="399"/>
      <c r="P83" s="399"/>
    </row>
    <row r="84" spans="2:16" x14ac:dyDescent="0.25">
      <c r="B84" s="399"/>
      <c r="C84" s="387"/>
      <c r="D84" s="390"/>
      <c r="E84" s="399"/>
      <c r="F84" s="399"/>
      <c r="G84" s="399"/>
      <c r="H84" s="399"/>
      <c r="J84" s="399"/>
      <c r="K84" s="387"/>
      <c r="L84" s="390"/>
      <c r="M84" s="399"/>
      <c r="N84" s="399"/>
      <c r="O84" s="399"/>
      <c r="P84" s="399"/>
    </row>
    <row r="85" spans="2:16" x14ac:dyDescent="0.25">
      <c r="B85" s="399"/>
      <c r="C85" s="387"/>
      <c r="D85" s="390"/>
      <c r="E85" s="399"/>
      <c r="F85" s="399"/>
      <c r="G85" s="399"/>
      <c r="H85" s="399"/>
      <c r="J85" s="399"/>
      <c r="K85" s="387"/>
      <c r="L85" s="390"/>
      <c r="M85" s="399"/>
      <c r="N85" s="399"/>
      <c r="O85" s="399"/>
      <c r="P85" s="399"/>
    </row>
    <row r="86" spans="2:16" x14ac:dyDescent="0.25">
      <c r="B86" s="399"/>
      <c r="C86" s="399"/>
      <c r="D86" s="401"/>
      <c r="E86" s="399"/>
      <c r="F86" s="399"/>
      <c r="G86" s="399"/>
      <c r="H86" s="399"/>
      <c r="J86" s="399"/>
      <c r="K86" s="399"/>
      <c r="L86" s="401"/>
      <c r="M86" s="399"/>
      <c r="N86" s="399"/>
      <c r="O86" s="399"/>
      <c r="P86" s="399"/>
    </row>
    <row r="87" spans="2:16" x14ac:dyDescent="0.25">
      <c r="B87" s="399"/>
      <c r="C87" s="399"/>
      <c r="D87" s="401"/>
      <c r="E87" s="399"/>
      <c r="F87" s="399"/>
      <c r="G87" s="399"/>
      <c r="H87" s="399"/>
      <c r="J87" s="399"/>
      <c r="K87" s="399"/>
      <c r="L87" s="401"/>
      <c r="M87" s="399"/>
      <c r="N87" s="399"/>
      <c r="O87" s="399"/>
      <c r="P87" s="399"/>
    </row>
    <row r="88" spans="2:16" x14ac:dyDescent="0.25">
      <c r="B88" s="399"/>
      <c r="C88" s="399"/>
      <c r="D88" s="401"/>
      <c r="E88" s="399"/>
      <c r="F88" s="399"/>
      <c r="G88" s="399"/>
      <c r="H88" s="399"/>
      <c r="J88" s="399"/>
      <c r="K88" s="399"/>
      <c r="L88" s="401"/>
      <c r="M88" s="399"/>
      <c r="N88" s="399"/>
      <c r="O88" s="399"/>
      <c r="P88" s="399"/>
    </row>
    <row r="89" spans="2:16" x14ac:dyDescent="0.25">
      <c r="B89" s="399"/>
      <c r="C89" s="399"/>
      <c r="D89" s="399"/>
      <c r="E89" s="399"/>
      <c r="F89" s="399"/>
      <c r="G89" s="399"/>
      <c r="H89" s="399"/>
      <c r="J89" s="399"/>
      <c r="K89" s="399"/>
      <c r="L89" s="399"/>
      <c r="M89" s="399"/>
      <c r="N89" s="399"/>
      <c r="O89" s="399"/>
      <c r="P89" s="399"/>
    </row>
    <row r="90" spans="2:16" x14ac:dyDescent="0.25">
      <c r="B90" s="399"/>
      <c r="C90" s="399"/>
      <c r="D90" s="399"/>
      <c r="E90" s="399"/>
      <c r="F90" s="399"/>
      <c r="G90" s="399"/>
      <c r="H90" s="399"/>
      <c r="J90" s="399"/>
      <c r="K90" s="399"/>
      <c r="L90" s="399"/>
      <c r="M90" s="399"/>
      <c r="N90" s="399"/>
      <c r="O90" s="399"/>
      <c r="P90" s="399"/>
    </row>
    <row r="91" spans="2:16" ht="13" thickBot="1" x14ac:dyDescent="0.3"/>
    <row r="92" spans="2:16" ht="12.75" customHeight="1" x14ac:dyDescent="0.25">
      <c r="B92" s="501" t="s">
        <v>235</v>
      </c>
      <c r="C92" s="502"/>
      <c r="D92" s="502"/>
      <c r="E92" s="502"/>
      <c r="F92" s="502"/>
      <c r="G92" s="502"/>
      <c r="H92" s="503"/>
    </row>
    <row r="93" spans="2:16" ht="13.5" customHeight="1" x14ac:dyDescent="0.25">
      <c r="B93" s="402">
        <v>1</v>
      </c>
      <c r="C93" s="525" t="s">
        <v>239</v>
      </c>
      <c r="D93" s="496"/>
      <c r="E93" s="497"/>
      <c r="F93" s="309"/>
      <c r="G93" s="309"/>
      <c r="H93" s="335"/>
    </row>
    <row r="94" spans="2:16" ht="13.5" customHeight="1" x14ac:dyDescent="0.25">
      <c r="B94" s="402">
        <f>B93+1</f>
        <v>2</v>
      </c>
      <c r="C94" s="525" t="s">
        <v>240</v>
      </c>
      <c r="D94" s="496"/>
      <c r="E94" s="497"/>
      <c r="F94" s="309"/>
      <c r="G94" s="309"/>
      <c r="H94" s="335"/>
    </row>
    <row r="95" spans="2:16" ht="13.5" customHeight="1" x14ac:dyDescent="0.25">
      <c r="B95" s="402">
        <f>B94+1</f>
        <v>3</v>
      </c>
      <c r="C95" s="525" t="s">
        <v>246</v>
      </c>
      <c r="D95" s="496"/>
      <c r="E95" s="497"/>
      <c r="F95" s="309"/>
      <c r="G95" s="309"/>
      <c r="H95" s="335"/>
    </row>
    <row r="96" spans="2:16" x14ac:dyDescent="0.25">
      <c r="B96" s="403"/>
      <c r="C96" s="36"/>
      <c r="D96" s="36"/>
      <c r="E96" s="36"/>
      <c r="F96" s="36"/>
      <c r="G96" s="36"/>
      <c r="H96" s="404"/>
    </row>
    <row r="97" spans="2:8" x14ac:dyDescent="0.25">
      <c r="B97" s="403"/>
      <c r="C97" s="36"/>
      <c r="D97" s="36"/>
      <c r="E97" s="36"/>
      <c r="F97" s="36"/>
      <c r="G97" s="36"/>
      <c r="H97" s="404"/>
    </row>
    <row r="98" spans="2:8" x14ac:dyDescent="0.25">
      <c r="B98" s="403"/>
      <c r="C98" s="36"/>
      <c r="D98" s="36"/>
      <c r="E98" s="36"/>
      <c r="F98" s="36"/>
      <c r="G98" s="36"/>
      <c r="H98" s="404"/>
    </row>
    <row r="99" spans="2:8" x14ac:dyDescent="0.25">
      <c r="B99" s="403"/>
      <c r="C99" s="36"/>
      <c r="D99" s="36"/>
      <c r="E99" s="36"/>
      <c r="F99" s="36"/>
      <c r="G99" s="36"/>
      <c r="H99" s="404"/>
    </row>
    <row r="100" spans="2:8" x14ac:dyDescent="0.25">
      <c r="B100" s="403"/>
      <c r="C100" s="36"/>
      <c r="D100" s="36"/>
      <c r="E100" s="36"/>
      <c r="F100" s="36"/>
      <c r="G100" s="36"/>
      <c r="H100" s="404"/>
    </row>
    <row r="101" spans="2:8" x14ac:dyDescent="0.25">
      <c r="B101" s="403"/>
      <c r="C101" s="36"/>
      <c r="D101" s="36"/>
      <c r="E101" s="36"/>
      <c r="F101" s="36"/>
      <c r="G101" s="36"/>
      <c r="H101" s="404"/>
    </row>
    <row r="102" spans="2:8" x14ac:dyDescent="0.25">
      <c r="B102" s="403"/>
      <c r="C102" s="36"/>
      <c r="D102" s="36"/>
      <c r="E102" s="36"/>
      <c r="F102" s="36"/>
      <c r="G102" s="36"/>
      <c r="H102" s="404"/>
    </row>
    <row r="103" spans="2:8" x14ac:dyDescent="0.25">
      <c r="B103" s="403"/>
      <c r="C103" s="36"/>
      <c r="D103" s="36"/>
      <c r="E103" s="36"/>
      <c r="F103" s="36"/>
      <c r="G103" s="36"/>
      <c r="H103" s="404"/>
    </row>
    <row r="104" spans="2:8" x14ac:dyDescent="0.25">
      <c r="B104" s="403"/>
      <c r="C104" s="36"/>
      <c r="D104" s="36"/>
      <c r="E104" s="36"/>
      <c r="F104" s="36"/>
      <c r="G104" s="36"/>
      <c r="H104" s="404"/>
    </row>
    <row r="105" spans="2:8" x14ac:dyDescent="0.25">
      <c r="B105" s="403"/>
      <c r="C105" s="36"/>
      <c r="D105" s="36"/>
      <c r="E105" s="36"/>
      <c r="F105" s="36"/>
      <c r="G105" s="36"/>
      <c r="H105" s="404"/>
    </row>
    <row r="106" spans="2:8" x14ac:dyDescent="0.25">
      <c r="B106" s="403"/>
      <c r="C106" s="36"/>
      <c r="D106" s="36"/>
      <c r="E106" s="36"/>
      <c r="F106" s="36"/>
      <c r="G106" s="36"/>
      <c r="H106" s="404"/>
    </row>
    <row r="107" spans="2:8" x14ac:dyDescent="0.25">
      <c r="B107" s="403"/>
      <c r="C107" s="36"/>
      <c r="D107" s="36"/>
      <c r="E107" s="36"/>
      <c r="F107" s="36"/>
      <c r="G107" s="36"/>
      <c r="H107" s="404"/>
    </row>
    <row r="108" spans="2:8" x14ac:dyDescent="0.25">
      <c r="B108" s="403"/>
      <c r="C108" s="36"/>
      <c r="D108" s="36"/>
      <c r="E108" s="36"/>
      <c r="F108" s="36"/>
      <c r="G108" s="36"/>
      <c r="H108" s="404"/>
    </row>
    <row r="109" spans="2:8" x14ac:dyDescent="0.25">
      <c r="B109" s="403"/>
      <c r="C109" s="36"/>
      <c r="D109" s="36"/>
      <c r="E109" s="36"/>
      <c r="F109" s="36"/>
      <c r="G109" s="36"/>
      <c r="H109" s="404"/>
    </row>
    <row r="110" spans="2:8" x14ac:dyDescent="0.25">
      <c r="B110" s="403"/>
      <c r="C110" s="36"/>
      <c r="D110" s="36"/>
      <c r="E110" s="36"/>
      <c r="F110" s="36"/>
      <c r="G110" s="36"/>
      <c r="H110" s="404"/>
    </row>
    <row r="111" spans="2:8" x14ac:dyDescent="0.25">
      <c r="B111" s="403"/>
      <c r="C111" s="36"/>
      <c r="D111" s="36"/>
      <c r="E111" s="36"/>
      <c r="F111" s="36"/>
      <c r="G111" s="36"/>
      <c r="H111" s="404"/>
    </row>
    <row r="112" spans="2:8" x14ac:dyDescent="0.25">
      <c r="B112" s="403"/>
      <c r="C112" s="36"/>
      <c r="D112" s="36"/>
      <c r="E112" s="36"/>
      <c r="F112" s="36"/>
      <c r="G112" s="36"/>
      <c r="H112" s="404"/>
    </row>
    <row r="113" spans="2:16" ht="13" thickBot="1" x14ac:dyDescent="0.3">
      <c r="B113" s="405"/>
      <c r="C113" s="406"/>
      <c r="D113" s="406"/>
      <c r="E113" s="406"/>
      <c r="F113" s="406"/>
      <c r="G113" s="406"/>
      <c r="H113" s="407"/>
    </row>
    <row r="114" spans="2:16" x14ac:dyDescent="0.25">
      <c r="C114" s="29"/>
    </row>
    <row r="115" spans="2:16" x14ac:dyDescent="0.25">
      <c r="C115" s="549" t="str">
        <f>Main!C142</f>
        <v>^ Disclaimer:  Tykoh Group Pty Limited ("Tykoh") disclaims all warranties of quality, accuracy, correctness, or fitness for a particular purpose.  This spreadsheet is for educational use only and should not be used for pricing or risk management purposes. Copyright (c) 2012 Tykoh Group Pty Limited.  All rights reserved.</v>
      </c>
      <c r="D115" s="528"/>
      <c r="E115" s="528"/>
      <c r="F115" s="528"/>
      <c r="G115" s="528"/>
      <c r="H115" s="528"/>
      <c r="I115" s="528"/>
      <c r="J115" s="528"/>
      <c r="K115" s="528"/>
      <c r="L115" s="528"/>
      <c r="M115" s="529"/>
    </row>
    <row r="116" spans="2:16" x14ac:dyDescent="0.25">
      <c r="C116" s="530"/>
      <c r="D116" s="531"/>
      <c r="E116" s="531"/>
      <c r="F116" s="531"/>
      <c r="G116" s="531"/>
      <c r="H116" s="531"/>
      <c r="I116" s="531"/>
      <c r="J116" s="531"/>
      <c r="K116" s="531"/>
      <c r="L116" s="531"/>
      <c r="M116" s="532"/>
    </row>
    <row r="117" spans="2:16" x14ac:dyDescent="0.25">
      <c r="C117" s="533"/>
      <c r="D117" s="534"/>
      <c r="E117" s="534"/>
      <c r="F117" s="534"/>
      <c r="G117" s="534"/>
      <c r="H117" s="534"/>
      <c r="I117" s="534"/>
      <c r="J117" s="534"/>
      <c r="K117" s="534"/>
      <c r="L117" s="534"/>
      <c r="M117" s="535"/>
    </row>
    <row r="118" spans="2:16" x14ac:dyDescent="0.25">
      <c r="C118" s="29"/>
    </row>
    <row r="119" spans="2:16" x14ac:dyDescent="0.25">
      <c r="C119" s="29"/>
      <c r="F119" s="431" t="str">
        <f>Main!F146</f>
        <v>www.tykoh.com</v>
      </c>
      <c r="G119" s="431"/>
      <c r="H119" s="431"/>
    </row>
    <row r="120" spans="2:16" x14ac:dyDescent="0.25">
      <c r="C120" s="29"/>
    </row>
    <row r="121" spans="2:16" ht="13" hidden="1" thickBot="1" x14ac:dyDescent="0.3">
      <c r="C121" s="29"/>
    </row>
    <row r="122" spans="2:16" hidden="1" x14ac:dyDescent="0.25">
      <c r="B122" s="518" t="str">
        <f>Main!$B$128</f>
        <v>You can put a comment here</v>
      </c>
      <c r="C122" s="519"/>
      <c r="D122" s="519"/>
      <c r="E122" s="519"/>
      <c r="F122" s="519"/>
      <c r="G122" s="519"/>
      <c r="H122" s="519"/>
      <c r="I122" s="519"/>
      <c r="J122" s="519"/>
      <c r="K122" s="519"/>
      <c r="L122" s="519"/>
      <c r="M122" s="519"/>
      <c r="N122" s="519"/>
      <c r="O122" s="519"/>
      <c r="P122" s="520"/>
    </row>
    <row r="123" spans="2:16" ht="13" hidden="1" thickBot="1" x14ac:dyDescent="0.3">
      <c r="B123" s="521"/>
      <c r="C123" s="522"/>
      <c r="D123" s="522"/>
      <c r="E123" s="522"/>
      <c r="F123" s="522"/>
      <c r="G123" s="522"/>
      <c r="H123" s="522"/>
      <c r="I123" s="522"/>
      <c r="J123" s="522"/>
      <c r="K123" s="522"/>
      <c r="L123" s="522"/>
      <c r="M123" s="522"/>
      <c r="N123" s="522"/>
      <c r="O123" s="522"/>
      <c r="P123" s="523"/>
    </row>
    <row r="124" spans="2:16" hidden="1" x14ac:dyDescent="0.25">
      <c r="C124" s="29"/>
    </row>
    <row r="128" spans="2:16" hidden="1" x14ac:dyDescent="0.25">
      <c r="C128" s="24" t="str">
        <f>Main!G334</f>
        <v>row_assets</v>
      </c>
      <c r="E128" s="24" t="str">
        <f ca="1">Main!I334</f>
        <v>Assets</v>
      </c>
      <c r="H128" s="24" t="s">
        <v>319</v>
      </c>
      <c r="M128" s="24">
        <f ca="1">MATCH(C93,$E$128:$E$172,0)</f>
        <v>11</v>
      </c>
      <c r="N128" s="24" t="str">
        <f ca="1">OFFSET($C$128,M128-1,0)</f>
        <v>row_eva_aip</v>
      </c>
    </row>
    <row r="129" spans="3:14" hidden="1" x14ac:dyDescent="0.25">
      <c r="C129" s="24" t="str">
        <f>Main!G335</f>
        <v>row_leverage</v>
      </c>
      <c r="E129" s="24" t="str">
        <f ca="1">Main!I335</f>
        <v>Debt / equity ratio</v>
      </c>
      <c r="H129" s="24" t="str">
        <f>"starting at " &amp; ADDRESS(ROW(Main!G334),COLUMN(Main!G334),4)</f>
        <v>starting at G334</v>
      </c>
      <c r="M129" s="24">
        <f ca="1">MATCH(C94,$E$128:$E$172,0)</f>
        <v>12</v>
      </c>
      <c r="N129" s="24" t="str">
        <f ca="1">OFFSET($C$128,M129-1,0)</f>
        <v>row_eva_ga</v>
      </c>
    </row>
    <row r="130" spans="3:14" hidden="1" x14ac:dyDescent="0.25">
      <c r="C130" s="24" t="str">
        <f>Main!G336</f>
        <v>row_borrowing</v>
      </c>
      <c r="E130" s="24" t="str">
        <f ca="1">Main!I336</f>
        <v>Borrowing</v>
      </c>
      <c r="H130" s="24" t="s">
        <v>320</v>
      </c>
      <c r="M130" s="24">
        <f ca="1">MATCH(C95,$E$128:$E$172,0)</f>
        <v>10</v>
      </c>
      <c r="N130" s="24" t="str">
        <f ca="1">OFFSET($C$128,M130-1,0)</f>
        <v>row_eva</v>
      </c>
    </row>
    <row r="131" spans="3:14" hidden="1" x14ac:dyDescent="0.25">
      <c r="C131" s="24" t="str">
        <f>Main!G337</f>
        <v>row_coverage_ratio</v>
      </c>
      <c r="E131" s="24" t="str">
        <f ca="1">Main!I337</f>
        <v>Coverage ratio</v>
      </c>
      <c r="H131" s="24" t="s">
        <v>321</v>
      </c>
    </row>
    <row r="132" spans="3:14" hidden="1" x14ac:dyDescent="0.25">
      <c r="C132" s="24" t="str">
        <f>Main!G338</f>
        <v>row_debt</v>
      </c>
      <c r="E132" s="24" t="str">
        <f ca="1">Main!I338</f>
        <v>Debt</v>
      </c>
      <c r="H132" s="24" t="s">
        <v>322</v>
      </c>
    </row>
    <row r="133" spans="3:14" hidden="1" x14ac:dyDescent="0.25">
      <c r="C133" s="24" t="str">
        <f>Main!G339</f>
        <v>row_dividends</v>
      </c>
      <c r="E133" s="24" t="str">
        <f ca="1">Main!I339</f>
        <v>Dividends</v>
      </c>
    </row>
    <row r="134" spans="3:14" hidden="1" x14ac:dyDescent="0.25">
      <c r="C134" s="24" t="str">
        <f>Main!G340</f>
        <v>row_ebit</v>
      </c>
      <c r="E134" s="24" t="str">
        <f ca="1">Main!I340</f>
        <v>EBIT</v>
      </c>
    </row>
    <row r="135" spans="3:14" hidden="1" x14ac:dyDescent="0.25">
      <c r="C135" s="24" t="str">
        <f>Main!G341</f>
        <v>row_ebitda</v>
      </c>
      <c r="E135" s="24" t="str">
        <f ca="1">Main!I341</f>
        <v>EBITDA</v>
      </c>
    </row>
    <row r="136" spans="3:14" hidden="1" x14ac:dyDescent="0.25">
      <c r="C136" s="24" t="str">
        <f>Main!G342</f>
        <v>row_ev_ebitda</v>
      </c>
      <c r="E136" s="24" t="str">
        <f ca="1">Main!I342</f>
        <v>Enterprise value / EBITDA</v>
      </c>
    </row>
    <row r="137" spans="3:14" hidden="1" x14ac:dyDescent="0.25">
      <c r="C137" s="24" t="str">
        <f>Main!G343</f>
        <v>row_eva</v>
      </c>
      <c r="E137" s="24" t="str">
        <f ca="1">Main!I343</f>
        <v>Economic value added (EVA)</v>
      </c>
    </row>
    <row r="138" spans="3:14" hidden="1" x14ac:dyDescent="0.25">
      <c r="C138" s="24" t="str">
        <f>Main!G344</f>
        <v>row_eva_aip</v>
      </c>
      <c r="E138" s="24" t="str">
        <f ca="1">Main!I344</f>
        <v>EVA due to assets in place</v>
      </c>
    </row>
    <row r="139" spans="3:14" hidden="1" x14ac:dyDescent="0.25">
      <c r="C139" s="24" t="str">
        <f>Main!G345</f>
        <v>row_eva_ga</v>
      </c>
      <c r="E139" s="24" t="str">
        <f ca="1">Main!I345</f>
        <v>EVA due to growth assets</v>
      </c>
    </row>
    <row r="140" spans="3:14" hidden="1" x14ac:dyDescent="0.25">
      <c r="C140" s="24" t="str">
        <f>Main!G346</f>
        <v>row_equity</v>
      </c>
      <c r="E140" s="24" t="str">
        <f ca="1">Main!I346</f>
        <v>Equity</v>
      </c>
    </row>
    <row r="141" spans="3:14" hidden="1" x14ac:dyDescent="0.25">
      <c r="C141" s="24" t="str">
        <f>Main!G347</f>
        <v>row_equity_margin</v>
      </c>
      <c r="E141" s="24" t="str">
        <f ca="1">Main!I347</f>
        <v>Equity margin</v>
      </c>
    </row>
    <row r="142" spans="3:14" hidden="1" x14ac:dyDescent="0.25">
      <c r="C142" s="24" t="str">
        <f>Main!G348</f>
        <v>row_wacc</v>
      </c>
      <c r="E142" s="24" t="str">
        <f ca="1">Main!I348</f>
        <v>Cost of capital [WACC]</v>
      </c>
    </row>
    <row r="143" spans="3:14" hidden="1" x14ac:dyDescent="0.25">
      <c r="C143" s="24" t="str">
        <f>Main!G349</f>
        <v>row_fcfd</v>
      </c>
      <c r="E143" s="24" t="str">
        <f ca="1">Main!I349</f>
        <v>Free cash flow to debt</v>
      </c>
    </row>
    <row r="144" spans="3:14" hidden="1" x14ac:dyDescent="0.25">
      <c r="C144" s="24" t="str">
        <f>Main!G350</f>
        <v>row_fcfe</v>
      </c>
      <c r="E144" s="24" t="str">
        <f ca="1">Main!I350</f>
        <v>Free cash flow to equity</v>
      </c>
    </row>
    <row r="145" spans="3:5" hidden="1" x14ac:dyDescent="0.25">
      <c r="C145" s="24" t="str">
        <f>Main!G351</f>
        <v>row_fcff</v>
      </c>
      <c r="E145" s="24" t="str">
        <f ca="1">Main!I351</f>
        <v>Free cash flow to the firm</v>
      </c>
    </row>
    <row r="146" spans="3:5" hidden="1" x14ac:dyDescent="0.25">
      <c r="C146" s="24" t="str">
        <f>Main!G352</f>
        <v>row_growth</v>
      </c>
      <c r="E146" s="24" t="str">
        <f ca="1">Main!I352</f>
        <v>Growth rate</v>
      </c>
    </row>
    <row r="147" spans="3:5" hidden="1" x14ac:dyDescent="0.25">
      <c r="C147" s="24" t="str">
        <f>Main!G353</f>
        <v>row_interest_rate</v>
      </c>
      <c r="E147" s="24" t="str">
        <f ca="1">Main!I353</f>
        <v>Cost of debt (post-tax)</v>
      </c>
    </row>
    <row r="148" spans="3:5" hidden="1" x14ac:dyDescent="0.25">
      <c r="C148" s="24" t="str">
        <f>Main!G354</f>
        <v>row_coe</v>
      </c>
      <c r="E148" s="24" t="str">
        <f ca="1">Main!I354</f>
        <v>Cost of equity</v>
      </c>
    </row>
    <row r="149" spans="3:5" hidden="1" x14ac:dyDescent="0.25">
      <c r="C149" s="24" t="str">
        <f>Main!G355</f>
        <v>row_tax_rate</v>
      </c>
      <c r="E149" s="24" t="str">
        <f ca="1">Main!I355</f>
        <v>Tax rate</v>
      </c>
    </row>
    <row r="150" spans="3:5" hidden="1" x14ac:dyDescent="0.25">
      <c r="C150" s="24" t="str">
        <f>Main!G356</f>
        <v>row_mve_e</v>
      </c>
      <c r="E150" s="24" t="str">
        <f ca="1">Main!I356</f>
        <v>Equity [market / book] ratio</v>
      </c>
    </row>
    <row r="151" spans="3:5" hidden="1" x14ac:dyDescent="0.25">
      <c r="C151" s="24" t="str">
        <f>Main!G357</f>
        <v>row_mvf_f</v>
      </c>
      <c r="E151" s="24" t="str">
        <f ca="1">Main!I357</f>
        <v>Firm [market / book] ratio</v>
      </c>
    </row>
    <row r="152" spans="3:5" hidden="1" x14ac:dyDescent="0.25">
      <c r="C152" s="24" t="str">
        <f>Main!G358</f>
        <v>row_mve</v>
      </c>
      <c r="E152" s="24" t="str">
        <f ca="1">Main!I358</f>
        <v>Market value of equity</v>
      </c>
    </row>
    <row r="153" spans="3:5" hidden="1" x14ac:dyDescent="0.25">
      <c r="C153" s="24" t="str">
        <f>Main!G359</f>
        <v>row_mvf</v>
      </c>
      <c r="E153" s="24" t="str">
        <f ca="1">Main!I359</f>
        <v>Market value of firm</v>
      </c>
    </row>
    <row r="154" spans="3:5" hidden="1" x14ac:dyDescent="0.25">
      <c r="C154" s="24" t="str">
        <f>Main!G360</f>
        <v>row_net_profit</v>
      </c>
      <c r="E154" s="24" t="str">
        <f ca="1">Main!I360</f>
        <v>Net profit</v>
      </c>
    </row>
    <row r="155" spans="3:5" hidden="1" x14ac:dyDescent="0.25">
      <c r="C155" s="24" t="str">
        <f>Main!G361</f>
        <v>row_pe</v>
      </c>
      <c r="E155" s="24" t="str">
        <f ca="1">Main!I361</f>
        <v>P/E ratio</v>
      </c>
    </row>
    <row r="156" spans="3:5" hidden="1" x14ac:dyDescent="0.25">
      <c r="C156" s="24" t="str">
        <f>Main!G362</f>
        <v>row_roc</v>
      </c>
      <c r="E156" s="24" t="str">
        <f ca="1">Main!I362</f>
        <v>Return on capital</v>
      </c>
    </row>
    <row r="157" spans="3:5" hidden="1" x14ac:dyDescent="0.25">
      <c r="C157" s="24" t="str">
        <f>Main!G363</f>
        <v>row_roe</v>
      </c>
      <c r="E157" s="24" t="str">
        <f ca="1">Main!I363</f>
        <v>Return on equity</v>
      </c>
    </row>
    <row r="158" spans="3:5" hidden="1" x14ac:dyDescent="0.25">
      <c r="C158" s="24" t="str">
        <f>Main!G364</f>
        <v>row_risk_free_rate</v>
      </c>
      <c r="E158" s="24" t="str">
        <f ca="1">Main!I364</f>
        <v>Risk free rate</v>
      </c>
    </row>
    <row r="159" spans="3:5" hidden="1" x14ac:dyDescent="0.25">
      <c r="C159" s="24" t="str">
        <f>Main!G365</f>
        <v>row_unlevered_coe</v>
      </c>
      <c r="E159" s="24" t="str">
        <f ca="1">Main!I365</f>
        <v>Unleveraged cost of equity</v>
      </c>
    </row>
    <row r="160" spans="3:5" hidden="1" x14ac:dyDescent="0.25">
      <c r="C160" s="24" t="str">
        <f>Main!G366</f>
        <v>row_capex_growth</v>
      </c>
      <c r="E160" s="24" t="str">
        <f ca="1">Main!I366</f>
        <v>Growth CAPEX</v>
      </c>
    </row>
    <row r="161" spans="1:17" hidden="1" x14ac:dyDescent="0.25">
      <c r="C161" s="24" t="str">
        <f>Main!G367</f>
        <v>row_capex_replacement</v>
      </c>
      <c r="E161" s="24" t="str">
        <f ca="1">Main!I367</f>
        <v>Replacement CAPEX</v>
      </c>
    </row>
    <row r="162" spans="1:17" hidden="1" x14ac:dyDescent="0.25">
      <c r="C162" s="24" t="str">
        <f>Main!G368</f>
        <v>row_capex</v>
      </c>
      <c r="E162" s="24" t="str">
        <f ca="1">Main!I368</f>
        <v>Cash flow from investing</v>
      </c>
    </row>
    <row r="163" spans="1:17" hidden="1" x14ac:dyDescent="0.25">
      <c r="C163" s="24" t="str">
        <f>Main!G369</f>
        <v>row_interest</v>
      </c>
      <c r="E163" s="24" t="str">
        <f ca="1">Main!I369</f>
        <v>(Interest)</v>
      </c>
    </row>
    <row r="164" spans="1:17" hidden="1" x14ac:dyDescent="0.25">
      <c r="C164" s="24" t="str">
        <f>Main!G370</f>
        <v>row_tax</v>
      </c>
      <c r="E164" s="24" t="str">
        <f ca="1">Main!I370</f>
        <v>(Tax)</v>
      </c>
    </row>
    <row r="165" spans="1:17" hidden="1" x14ac:dyDescent="0.25">
      <c r="C165" s="24" t="str">
        <f>Main!G371</f>
        <v>row_udf1</v>
      </c>
      <c r="E165" s="24" t="str">
        <f ca="1">Main!I371</f>
        <v>User defined calc #1</v>
      </c>
    </row>
    <row r="166" spans="1:17" hidden="1" x14ac:dyDescent="0.25">
      <c r="C166" s="24" t="str">
        <f>Main!G372</f>
        <v>row_udf2</v>
      </c>
      <c r="E166" s="24" t="str">
        <f ca="1">Main!I372</f>
        <v>User defined calc #2</v>
      </c>
    </row>
    <row r="167" spans="1:17" hidden="1" x14ac:dyDescent="0.25">
      <c r="C167" s="24" t="str">
        <f>Main!G373</f>
        <v>row_udf3</v>
      </c>
      <c r="E167" s="24" t="str">
        <f ca="1">Main!I373</f>
        <v>User defined calc #3</v>
      </c>
    </row>
    <row r="168" spans="1:17" hidden="1" x14ac:dyDescent="0.25">
      <c r="C168" s="24" t="str">
        <f>Main!G374</f>
        <v>row_udf4</v>
      </c>
      <c r="E168" s="24" t="str">
        <f ca="1">Main!I374</f>
        <v>User defined calc #4</v>
      </c>
    </row>
    <row r="169" spans="1:17" hidden="1" x14ac:dyDescent="0.25">
      <c r="C169" s="24" t="str">
        <f>Main!G375</f>
        <v>row_udf5</v>
      </c>
      <c r="E169" s="24" t="str">
        <f ca="1">Main!I375</f>
        <v>User defined calc #5</v>
      </c>
    </row>
    <row r="170" spans="1:17" hidden="1" x14ac:dyDescent="0.25">
      <c r="C170" s="24" t="str">
        <f>Main!G376</f>
        <v>row_udf6</v>
      </c>
      <c r="E170" s="24" t="str">
        <f ca="1">Main!I376</f>
        <v>User defined calc #6</v>
      </c>
    </row>
    <row r="171" spans="1:17" hidden="1" x14ac:dyDescent="0.25">
      <c r="C171" s="24" t="str">
        <f>Main!G377</f>
        <v>row_udf7</v>
      </c>
      <c r="E171" s="24" t="str">
        <f ca="1">Main!I377</f>
        <v>User defined calc #7</v>
      </c>
    </row>
    <row r="172" spans="1:17" hidden="1" x14ac:dyDescent="0.25">
      <c r="C172" s="24" t="str">
        <f>Main!G378</f>
        <v>row_udf8</v>
      </c>
      <c r="E172" s="24" t="str">
        <f ca="1">Main!I378</f>
        <v>User defined calc #8</v>
      </c>
      <c r="K172" s="24" t="s">
        <v>335</v>
      </c>
    </row>
    <row r="173" spans="1:17" s="36" customFormat="1" hidden="1" x14ac:dyDescent="0.25">
      <c r="A173" s="24"/>
      <c r="B173" s="24"/>
      <c r="C173" s="24"/>
      <c r="D173" s="24"/>
      <c r="E173" s="24"/>
      <c r="F173" s="203"/>
      <c r="G173" s="203"/>
      <c r="H173" s="203"/>
      <c r="I173" s="203"/>
      <c r="J173" s="203"/>
      <c r="K173" s="203"/>
      <c r="L173" s="203"/>
      <c r="M173" s="203"/>
      <c r="N173" s="203"/>
      <c r="O173" s="203"/>
      <c r="P173" s="203"/>
      <c r="Q173" s="203"/>
    </row>
    <row r="174" spans="1:17" s="36" customFormat="1" hidden="1" x14ac:dyDescent="0.25">
      <c r="A174" s="24"/>
      <c r="B174" s="24"/>
      <c r="C174" s="24"/>
      <c r="D174" s="24"/>
      <c r="E174" s="24"/>
      <c r="F174" s="203"/>
      <c r="G174" s="203"/>
      <c r="H174" s="203"/>
      <c r="I174" s="203"/>
      <c r="J174" s="203"/>
      <c r="K174" s="203"/>
      <c r="L174" s="203"/>
      <c r="M174" s="203"/>
      <c r="N174" s="203"/>
      <c r="O174" s="203"/>
      <c r="P174" s="203"/>
      <c r="Q174" s="203"/>
    </row>
    <row r="175" spans="1:17" s="36" customFormat="1" hidden="1" x14ac:dyDescent="0.25">
      <c r="A175" s="24"/>
      <c r="B175" s="24"/>
      <c r="C175" s="24"/>
      <c r="D175" s="24"/>
      <c r="E175" s="24"/>
      <c r="F175" s="203"/>
      <c r="G175" s="203"/>
      <c r="H175" s="203"/>
      <c r="I175" s="203"/>
      <c r="J175" s="203"/>
      <c r="K175" s="203"/>
      <c r="L175" s="203"/>
      <c r="M175" s="203"/>
      <c r="N175" s="203"/>
      <c r="O175" s="203"/>
      <c r="P175" s="203"/>
      <c r="Q175" s="203"/>
    </row>
    <row r="176" spans="1:17" s="408" customFormat="1" ht="37.5" hidden="1" x14ac:dyDescent="0.25">
      <c r="A176" s="350"/>
      <c r="B176" s="350" t="s">
        <v>312</v>
      </c>
      <c r="C176" s="350"/>
      <c r="D176" s="350" t="s">
        <v>313</v>
      </c>
      <c r="E176" s="350"/>
      <c r="F176" s="118" t="s">
        <v>314</v>
      </c>
      <c r="G176" s="160" t="s">
        <v>316</v>
      </c>
      <c r="H176" s="118" t="s">
        <v>317</v>
      </c>
      <c r="I176" s="118"/>
      <c r="J176" s="118"/>
      <c r="K176" s="118"/>
      <c r="L176" s="118"/>
      <c r="M176" s="118"/>
      <c r="N176" s="118"/>
      <c r="O176" s="118"/>
      <c r="P176" s="118"/>
      <c r="Q176" s="118"/>
    </row>
    <row r="177" spans="1:17" s="36" customFormat="1" hidden="1" x14ac:dyDescent="0.25">
      <c r="A177" s="24"/>
      <c r="B177" s="24" t="s">
        <v>48</v>
      </c>
      <c r="C177" s="24"/>
      <c r="D177" s="24" t="s">
        <v>128</v>
      </c>
      <c r="E177" s="24"/>
      <c r="F177" s="203">
        <v>1</v>
      </c>
      <c r="G177" s="409">
        <v>0</v>
      </c>
      <c r="H177" s="410">
        <v>0.1</v>
      </c>
      <c r="I177" s="203"/>
      <c r="J177" s="203"/>
      <c r="K177" s="203"/>
      <c r="L177" s="203"/>
      <c r="M177" s="203"/>
      <c r="N177" s="203"/>
      <c r="O177" s="203"/>
      <c r="P177" s="203"/>
      <c r="Q177" s="203"/>
    </row>
    <row r="178" spans="1:17" s="36" customFormat="1" hidden="1" x14ac:dyDescent="0.25">
      <c r="A178" s="24"/>
      <c r="B178" s="24" t="s">
        <v>132</v>
      </c>
      <c r="C178" s="24"/>
      <c r="D178" s="24" t="s">
        <v>129</v>
      </c>
      <c r="E178" s="24"/>
      <c r="F178" s="36">
        <f t="shared" ref="F178:F183" si="0">F177+1</f>
        <v>2</v>
      </c>
      <c r="G178" s="411">
        <v>0</v>
      </c>
      <c r="H178" s="412">
        <v>5.0000000000000001E-3</v>
      </c>
      <c r="L178" s="413"/>
    </row>
    <row r="179" spans="1:17" hidden="1" x14ac:dyDescent="0.25">
      <c r="B179" s="24" t="s">
        <v>51</v>
      </c>
      <c r="D179" s="24" t="s">
        <v>82</v>
      </c>
      <c r="F179" s="36">
        <f t="shared" si="0"/>
        <v>3</v>
      </c>
      <c r="G179" s="414">
        <v>0</v>
      </c>
      <c r="H179" s="414">
        <v>5.0000000000000001E-3</v>
      </c>
      <c r="L179" s="415"/>
    </row>
    <row r="180" spans="1:17" hidden="1" x14ac:dyDescent="0.25">
      <c r="B180" s="24" t="s">
        <v>50</v>
      </c>
      <c r="D180" s="24" t="s">
        <v>81</v>
      </c>
      <c r="F180" s="36">
        <f t="shared" si="0"/>
        <v>4</v>
      </c>
      <c r="G180" s="414">
        <v>0.03</v>
      </c>
      <c r="H180" s="414">
        <v>5.0000000000000001E-3</v>
      </c>
      <c r="L180" s="415"/>
    </row>
    <row r="181" spans="1:17" hidden="1" x14ac:dyDescent="0.25">
      <c r="B181" s="24" t="s">
        <v>58</v>
      </c>
      <c r="D181" s="24" t="s">
        <v>20</v>
      </c>
      <c r="F181" s="36">
        <f t="shared" si="0"/>
        <v>5</v>
      </c>
      <c r="G181" s="414">
        <v>0</v>
      </c>
      <c r="H181" s="414">
        <v>0.05</v>
      </c>
      <c r="L181" s="415"/>
    </row>
    <row r="182" spans="1:17" hidden="1" x14ac:dyDescent="0.25">
      <c r="B182" s="24" t="s">
        <v>47</v>
      </c>
      <c r="D182" s="24" t="s">
        <v>21</v>
      </c>
      <c r="F182" s="36">
        <f t="shared" si="0"/>
        <v>6</v>
      </c>
      <c r="G182" s="414">
        <v>0.06</v>
      </c>
      <c r="H182" s="414">
        <v>0.01</v>
      </c>
      <c r="L182" s="415"/>
    </row>
    <row r="183" spans="1:17" hidden="1" x14ac:dyDescent="0.25">
      <c r="B183" s="31" t="s">
        <v>187</v>
      </c>
      <c r="D183" s="24" t="s">
        <v>188</v>
      </c>
      <c r="F183" s="36">
        <f t="shared" si="0"/>
        <v>7</v>
      </c>
      <c r="G183" s="414">
        <v>0.03</v>
      </c>
      <c r="H183" s="414">
        <v>0.01</v>
      </c>
      <c r="L183" s="10"/>
    </row>
    <row r="185" spans="1:17" hidden="1" x14ac:dyDescent="0.25">
      <c r="B185" s="24" t="s">
        <v>315</v>
      </c>
      <c r="C185" s="24">
        <f>MATCH(L5,D177:D183,0)</f>
        <v>1</v>
      </c>
      <c r="D185" s="24" t="str">
        <f ca="1">OFFSET(B177,C185-1,0)</f>
        <v>row_leverage</v>
      </c>
      <c r="F185" s="24" t="str">
        <f ca="1">INDIRECT(varies_parameter)</f>
        <v>Debt / equity ratio</v>
      </c>
    </row>
  </sheetData>
  <sheetProtection algorithmName="SHA-512" hashValue="wuGHZrkY+yCjKCZKH5bt4w2P0SOK0dcksjMU36mxbAckJN372xeshF1TO+b3SYccEv00wqLAFCqf/7ya7K/09g==" saltValue="0aoJsvugKZggB1E9J4jXRw==" spinCount="100000" sheet="1" objects="1" scenarios="1"/>
  <mergeCells count="22">
    <mergeCell ref="B122:P123"/>
    <mergeCell ref="B13:B18"/>
    <mergeCell ref="D29:G29"/>
    <mergeCell ref="J26:P26"/>
    <mergeCell ref="B26:H26"/>
    <mergeCell ref="B70:P70"/>
    <mergeCell ref="B48:H48"/>
    <mergeCell ref="M23:P23"/>
    <mergeCell ref="C93:E93"/>
    <mergeCell ref="C94:E94"/>
    <mergeCell ref="F119:H119"/>
    <mergeCell ref="C115:M117"/>
    <mergeCell ref="C95:E95"/>
    <mergeCell ref="B92:H92"/>
    <mergeCell ref="F1:I1"/>
    <mergeCell ref="O1:P1"/>
    <mergeCell ref="B2:P3"/>
    <mergeCell ref="J48:P48"/>
    <mergeCell ref="G4:P4"/>
    <mergeCell ref="L5:N5"/>
    <mergeCell ref="G6:P9"/>
    <mergeCell ref="G11:P11"/>
  </mergeCells>
  <phoneticPr fontId="4" type="noConversion"/>
  <conditionalFormatting sqref="B2:P3">
    <cfRule type="expression" dxfId="5" priority="1" stopIfTrue="1">
      <formula>LEN($B$2)&gt;0</formula>
    </cfRule>
  </conditionalFormatting>
  <conditionalFormatting sqref="C6:C12">
    <cfRule type="expression" dxfId="4" priority="2" stopIfTrue="1">
      <formula>$F6=$C$185</formula>
    </cfRule>
  </conditionalFormatting>
  <conditionalFormatting sqref="D5:D12">
    <cfRule type="expression" dxfId="3" priority="3" stopIfTrue="1">
      <formula>AND($F5=$C$185,$C$23&gt;0)</formula>
    </cfRule>
  </conditionalFormatting>
  <dataValidations count="3">
    <dataValidation type="list" allowBlank="1" showInputMessage="1" showErrorMessage="1" sqref="J5" xr:uid="{00000000-0002-0000-0300-000000000000}">
      <formula1>"Initial,Terminal"</formula1>
    </dataValidation>
    <dataValidation type="list" allowBlank="1" showInputMessage="1" showErrorMessage="1" sqref="L5:N5" xr:uid="{00000000-0002-0000-0300-000001000000}">
      <formula1>$D$177:$D$183</formula1>
    </dataValidation>
    <dataValidation type="list" allowBlank="1" showInputMessage="1" showErrorMessage="1" sqref="C93:E95" xr:uid="{00000000-0002-0000-0300-000002000000}">
      <formula1>$E$128:$E$172</formula1>
    </dataValidation>
  </dataValidations>
  <hyperlinks>
    <hyperlink ref="B6" location="hyper_roc" display="hyper_roc" xr:uid="{00000000-0004-0000-0300-000000000000}"/>
    <hyperlink ref="B7" location="hyper_leverage" display="hyper_leverage" xr:uid="{00000000-0004-0000-0300-000001000000}"/>
    <hyperlink ref="B8" location="hyper_depn_rate" display="hyper_depn_rate" xr:uid="{00000000-0004-0000-0300-000002000000}"/>
    <hyperlink ref="B9" location="hyper_tax_rate" display="hyper_tax_rate" xr:uid="{00000000-0004-0000-0300-000003000000}"/>
    <hyperlink ref="B10" location="hyper_risk_free_rate" display="hyper_risk_free_rate" xr:uid="{00000000-0004-0000-0300-000004000000}"/>
    <hyperlink ref="B12" location="hyper_growth" display="hyper_growth" xr:uid="{00000000-0004-0000-0300-000005000000}"/>
    <hyperlink ref="B11" location="hyper_unlevered_coe" display="hyper_unlevered_coe" xr:uid="{00000000-0004-0000-0300-000006000000}"/>
    <hyperlink ref="B20" location="hyper_opening_assets" display="hyper_opening_assets" xr:uid="{00000000-0004-0000-0300-000007000000}"/>
    <hyperlink ref="B21" location="hyper_base_year" display="hyper_base_year" xr:uid="{00000000-0004-0000-0300-000008000000}"/>
    <hyperlink ref="B22" location="hyper_first_phase" display="hyper_first_phase" xr:uid="{00000000-0004-0000-0300-000009000000}"/>
    <hyperlink ref="B23" location="hyper_fade" display="hyper_fade" xr:uid="{00000000-0004-0000-0300-00000A000000}"/>
    <hyperlink ref="B24" location="hyper_scenario" display="hyper_scenario" xr:uid="{00000000-0004-0000-0300-00000B000000}"/>
    <hyperlink ref="B5" location="hyper_phase" display="hyper_phase" xr:uid="{00000000-0004-0000-0300-00000C000000}"/>
    <hyperlink ref="F119" r:id="rId1" display="www.tykoh.com" xr:uid="{00000000-0004-0000-0300-00000D000000}"/>
    <hyperlink ref="F119:H119" r:id="rId2" display="https://www.tykoh.com/?rfr=vm" xr:uid="{00000000-0004-0000-0300-00000E000000}"/>
    <hyperlink ref="O1:P1" r:id="rId3" display="http://www.tykoh.com/downloads/TykohValuationUtility_1_1.pdf" xr:uid="{00000000-0004-0000-0300-00000F000000}"/>
    <hyperlink ref="B1" location="Introduction!A1" display="Introduction!A1" xr:uid="{00000000-0004-0000-0300-000010000000}"/>
    <hyperlink ref="B13:B18" location="hyper_interest_margin" display="hyper_interest_margin" xr:uid="{00000000-0004-0000-0300-000011000000}"/>
  </hyperlinks>
  <pageMargins left="0.75" right="0.75" top="1" bottom="1" header="0.5" footer="0.5"/>
  <pageSetup paperSize="9" orientation="portrait" r:id="rId4"/>
  <headerFooter alignWithMargins="0"/>
  <cellWatches>
    <cellWatch r="R12"/>
  </cellWatche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S43"/>
  <sheetViews>
    <sheetView showGridLines="0" showRowColHeaders="0" workbookViewId="0"/>
  </sheetViews>
  <sheetFormatPr defaultColWidth="0" defaultRowHeight="12.5" zeroHeight="1" x14ac:dyDescent="0.25"/>
  <cols>
    <col min="1" max="1" width="1.7265625" style="24" customWidth="1"/>
    <col min="2" max="2" width="23.453125" style="24" customWidth="1"/>
    <col min="3" max="16" width="9.1796875" style="24" customWidth="1"/>
    <col min="17" max="17" width="1.7265625" style="24" customWidth="1"/>
    <col min="18" max="16384" width="0" style="24" hidden="1"/>
  </cols>
  <sheetData>
    <row r="1" spans="2:16" ht="13.5" thickTop="1" thickBot="1" x14ac:dyDescent="0.3">
      <c r="B1" s="297" t="str">
        <f>Main!B1</f>
        <v>Introduction</v>
      </c>
      <c r="F1" s="433" t="str">
        <f>Main!F1</f>
        <v>Tykoh Valuation Model (^)</v>
      </c>
      <c r="G1" s="433"/>
      <c r="H1" s="433"/>
      <c r="I1" s="433"/>
      <c r="J1" s="298" t="str">
        <f>Main!J1</f>
        <v>v1.1</v>
      </c>
      <c r="O1" s="482" t="str">
        <f>Main!O1</f>
        <v>User guide</v>
      </c>
      <c r="P1" s="435"/>
    </row>
    <row r="2" spans="2:16" ht="12.75" customHeight="1" thickTop="1" x14ac:dyDescent="0.25">
      <c r="B2" s="559" t="str">
        <f ca="1">M11</f>
        <v/>
      </c>
      <c r="C2" s="437"/>
      <c r="D2" s="437"/>
      <c r="E2" s="437"/>
      <c r="F2" s="437"/>
      <c r="G2" s="437"/>
      <c r="H2" s="437"/>
      <c r="I2" s="437"/>
      <c r="J2" s="437"/>
      <c r="K2" s="437"/>
      <c r="L2" s="437"/>
      <c r="M2" s="437"/>
      <c r="N2" s="437"/>
      <c r="O2" s="437"/>
      <c r="P2" s="437"/>
    </row>
    <row r="3" spans="2:16" ht="13" thickBot="1" x14ac:dyDescent="0.3">
      <c r="B3" s="437"/>
      <c r="C3" s="437"/>
      <c r="D3" s="437"/>
      <c r="E3" s="437"/>
      <c r="F3" s="437"/>
      <c r="G3" s="437"/>
      <c r="H3" s="437"/>
      <c r="I3" s="437"/>
      <c r="J3" s="437"/>
      <c r="K3" s="437"/>
      <c r="L3" s="437"/>
      <c r="M3" s="437"/>
      <c r="N3" s="437"/>
      <c r="O3" s="437"/>
      <c r="P3" s="437"/>
    </row>
    <row r="4" spans="2:16" ht="13.5" customHeight="1" x14ac:dyDescent="0.25">
      <c r="B4" s="345" t="s">
        <v>180</v>
      </c>
      <c r="C4" s="346"/>
      <c r="D4" s="347"/>
      <c r="E4" s="299"/>
      <c r="F4" s="555" t="s">
        <v>351</v>
      </c>
      <c r="G4" s="556"/>
      <c r="H4" s="556"/>
      <c r="I4" s="556"/>
      <c r="J4" s="556"/>
      <c r="K4" s="556"/>
      <c r="L4" s="556"/>
      <c r="M4" s="556"/>
      <c r="N4" s="556"/>
      <c r="O4" s="556"/>
      <c r="P4" s="557"/>
    </row>
    <row r="5" spans="2:16" ht="13.5" customHeight="1" x14ac:dyDescent="0.25">
      <c r="B5" s="300" t="str">
        <f>Main!B5</f>
        <v>Phase</v>
      </c>
      <c r="C5" s="348" t="str">
        <f>PROPER(initial)</f>
        <v>Initial</v>
      </c>
      <c r="D5" s="416" t="str">
        <f>PROPER(final)</f>
        <v>Terminal</v>
      </c>
      <c r="F5" s="558" t="s">
        <v>14</v>
      </c>
      <c r="G5" s="516"/>
      <c r="H5" s="517"/>
      <c r="I5" s="417" t="s">
        <v>183</v>
      </c>
      <c r="J5" s="57">
        <v>2023</v>
      </c>
      <c r="K5" s="309"/>
      <c r="L5" s="309"/>
      <c r="M5" s="309"/>
      <c r="N5" s="309"/>
      <c r="O5" s="309"/>
      <c r="P5" s="335"/>
    </row>
    <row r="6" spans="2:16" x14ac:dyDescent="0.25">
      <c r="B6" s="306" t="str">
        <f>Main!B6</f>
        <v>Return on capital</v>
      </c>
      <c r="C6" s="357">
        <f ca="1">Main!C6</f>
        <v>0.12</v>
      </c>
      <c r="D6" s="358">
        <f ca="1">Main!D6</f>
        <v>0.1</v>
      </c>
      <c r="F6" s="367"/>
      <c r="G6" s="368"/>
      <c r="H6" s="368"/>
      <c r="I6" s="368"/>
      <c r="J6" s="368"/>
      <c r="K6" s="368"/>
      <c r="L6" s="368"/>
      <c r="M6" s="368"/>
      <c r="N6" s="368"/>
      <c r="O6" s="368"/>
      <c r="P6" s="369"/>
    </row>
    <row r="7" spans="2:16" x14ac:dyDescent="0.25">
      <c r="B7" s="306" t="str">
        <f>Main!B7</f>
        <v>Debt / equity ratio</v>
      </c>
      <c r="C7" s="357">
        <f ca="1">Main!C7</f>
        <v>0.5</v>
      </c>
      <c r="D7" s="358">
        <f ca="1">Main!D7</f>
        <v>0.1</v>
      </c>
      <c r="F7" s="367"/>
      <c r="G7" s="368"/>
      <c r="H7" s="368"/>
      <c r="I7" s="368"/>
      <c r="J7" s="368"/>
      <c r="K7" s="368"/>
      <c r="L7" s="368"/>
      <c r="M7" s="368"/>
      <c r="N7" s="368"/>
      <c r="O7" s="368"/>
      <c r="P7" s="369"/>
    </row>
    <row r="8" spans="2:16" x14ac:dyDescent="0.25">
      <c r="B8" s="306" t="str">
        <f>Main!B8</f>
        <v>Depreciation rate</v>
      </c>
      <c r="C8" s="357">
        <f ca="1">Main!C8</f>
        <v>0.02</v>
      </c>
      <c r="D8" s="358">
        <f ca="1">Main!D8</f>
        <v>0.02</v>
      </c>
      <c r="F8" s="367"/>
      <c r="G8" s="368"/>
      <c r="H8" s="368" t="str">
        <f>"Sensitivities in " &amp; J5 &amp; " of " &amp; LOWER(F5) &amp; "."</f>
        <v>Sensitivities in 2023 of p/e ratio.</v>
      </c>
      <c r="I8" s="368"/>
      <c r="J8" s="368"/>
      <c r="K8" s="368"/>
      <c r="L8" s="368"/>
      <c r="M8" s="368"/>
      <c r="N8" s="368"/>
      <c r="O8" s="368"/>
      <c r="P8" s="369"/>
    </row>
    <row r="9" spans="2:16" x14ac:dyDescent="0.25">
      <c r="B9" s="306" t="str">
        <f>Main!B9</f>
        <v>Tax rate</v>
      </c>
      <c r="C9" s="357">
        <f ca="1">Main!C9</f>
        <v>0.3</v>
      </c>
      <c r="D9" s="358">
        <f ca="1">Main!D9</f>
        <v>0.3</v>
      </c>
      <c r="F9" s="367"/>
      <c r="G9" s="368"/>
      <c r="H9" s="368"/>
      <c r="I9" s="368"/>
      <c r="J9" s="368"/>
      <c r="K9" s="368"/>
      <c r="L9" s="368"/>
      <c r="M9" s="368"/>
      <c r="N9" s="368" t="s">
        <v>263</v>
      </c>
      <c r="O9" s="368"/>
      <c r="P9" s="369"/>
    </row>
    <row r="10" spans="2:16" x14ac:dyDescent="0.25">
      <c r="B10" s="306" t="str">
        <f>Main!B10</f>
        <v>Risk free rate</v>
      </c>
      <c r="C10" s="357">
        <f ca="1">Main!C10</f>
        <v>0.04</v>
      </c>
      <c r="D10" s="358">
        <f ca="1">Main!D10</f>
        <v>0.04</v>
      </c>
      <c r="F10" s="367"/>
      <c r="G10" s="368"/>
      <c r="H10" s="368" t="s">
        <v>262</v>
      </c>
      <c r="I10" s="368"/>
      <c r="J10" s="368"/>
      <c r="K10" s="368"/>
      <c r="L10" s="368"/>
      <c r="M10" s="368" t="str">
        <f>IF(LEN(M9)=0,N10,M9)</f>
        <v/>
      </c>
      <c r="N10" s="368" t="str">
        <f>IF(OR(J5&lt;base_year,J5&gt;base_year+chart_points), "In cell " &amp; ADDRESS(ROW(J5),COLUMN(J5),4) &amp; " select " &amp; IF(chart_points = 1,base_year, "a year between (and including) " &amp; base_year &amp; " and  " &amp; base_year + chart_points -1),"")</f>
        <v/>
      </c>
      <c r="O10" s="368" t="s">
        <v>218</v>
      </c>
      <c r="P10" s="369"/>
    </row>
    <row r="11" spans="2:16" x14ac:dyDescent="0.25">
      <c r="B11" s="314" t="str">
        <f>Main!B11</f>
        <v>Equity margin</v>
      </c>
      <c r="C11" s="363">
        <f ca="1">Main!C11</f>
        <v>7.0000000000000007E-2</v>
      </c>
      <c r="D11" s="364">
        <f ca="1">Main!D11</f>
        <v>7.0000000000000007E-2</v>
      </c>
      <c r="F11" s="367"/>
      <c r="G11" s="368"/>
      <c r="H11" s="368"/>
      <c r="I11" s="368"/>
      <c r="J11" s="368"/>
      <c r="K11" s="368"/>
      <c r="L11" s="368"/>
      <c r="M11" s="368" t="str">
        <f ca="1">IF(LEN(M10)=0,N11,M10)</f>
        <v/>
      </c>
      <c r="N11" s="368" t="str">
        <f ca="1">Charts!G83</f>
        <v/>
      </c>
      <c r="O11" s="368" t="s">
        <v>218</v>
      </c>
      <c r="P11" s="369"/>
    </row>
    <row r="12" spans="2:16" x14ac:dyDescent="0.25">
      <c r="B12" s="306" t="str">
        <f>Main!B12</f>
        <v>Growth rate</v>
      </c>
      <c r="C12" s="365">
        <f ca="1">Main!C12</f>
        <v>0.05</v>
      </c>
      <c r="D12" s="366">
        <f ca="1">Main!D12</f>
        <v>0.02</v>
      </c>
      <c r="F12" s="367"/>
      <c r="G12" s="368"/>
      <c r="H12" s="368"/>
      <c r="I12" s="368"/>
      <c r="J12" s="368"/>
      <c r="K12" s="368"/>
      <c r="L12" s="368"/>
      <c r="M12" s="368"/>
      <c r="N12" s="368"/>
      <c r="O12" s="368"/>
      <c r="P12" s="369"/>
    </row>
    <row r="13" spans="2:16" ht="25" x14ac:dyDescent="0.25">
      <c r="B13" s="554" t="str">
        <f>Main!B13</f>
        <v>Coverage ratio / interest margin</v>
      </c>
      <c r="C13" s="418" t="str">
        <f>Main!C14</f>
        <v>Coverage ratio</v>
      </c>
      <c r="D13" s="302" t="str">
        <f>Main!D14</f>
        <v>Interest margin</v>
      </c>
      <c r="F13" s="367"/>
      <c r="G13" s="368"/>
      <c r="H13" s="368"/>
      <c r="I13" s="368"/>
      <c r="J13" s="368"/>
      <c r="K13" s="368"/>
      <c r="L13" s="368"/>
      <c r="M13" s="368"/>
      <c r="N13" s="368"/>
      <c r="O13" s="368"/>
      <c r="P13" s="369"/>
    </row>
    <row r="14" spans="2:16" x14ac:dyDescent="0.25">
      <c r="B14" s="513"/>
      <c r="C14" s="419">
        <f ca="1">Main!C15</f>
        <v>7.5</v>
      </c>
      <c r="D14" s="373">
        <f ca="1">Main!$D$15</f>
        <v>5.0000000000000001E-3</v>
      </c>
      <c r="F14" s="367"/>
      <c r="G14" s="368"/>
      <c r="H14" s="368"/>
      <c r="I14" s="368"/>
      <c r="J14" s="368"/>
      <c r="K14" s="368"/>
      <c r="L14" s="368"/>
      <c r="M14" s="368"/>
      <c r="N14" s="368"/>
      <c r="O14" s="368"/>
      <c r="P14" s="369"/>
    </row>
    <row r="15" spans="2:16" x14ac:dyDescent="0.25">
      <c r="B15" s="513"/>
      <c r="C15" s="419">
        <f ca="1">Main!C16</f>
        <v>6</v>
      </c>
      <c r="D15" s="373">
        <f ca="1">Main!$D$16</f>
        <v>0.01</v>
      </c>
      <c r="F15" s="367"/>
      <c r="G15" s="368"/>
      <c r="H15" s="368"/>
      <c r="I15" s="368"/>
      <c r="J15" s="368"/>
      <c r="K15" s="368"/>
      <c r="L15" s="368"/>
      <c r="M15" s="368"/>
      <c r="N15" s="368"/>
      <c r="O15" s="368"/>
      <c r="P15" s="369"/>
    </row>
    <row r="16" spans="2:16" x14ac:dyDescent="0.25">
      <c r="B16" s="513"/>
      <c r="C16" s="419">
        <f ca="1">Main!C17</f>
        <v>4.5</v>
      </c>
      <c r="D16" s="373">
        <f ca="1">Main!$D$17</f>
        <v>0.02</v>
      </c>
      <c r="F16" s="367"/>
      <c r="G16" s="368"/>
      <c r="H16" s="368"/>
      <c r="I16" s="368"/>
      <c r="J16" s="368"/>
      <c r="K16" s="368"/>
      <c r="L16" s="368"/>
      <c r="M16" s="368"/>
      <c r="N16" s="368"/>
      <c r="O16" s="368"/>
      <c r="P16" s="369"/>
    </row>
    <row r="17" spans="2:16" x14ac:dyDescent="0.25">
      <c r="B17" s="513"/>
      <c r="C17" s="419">
        <f ca="1">Main!C18</f>
        <v>3</v>
      </c>
      <c r="D17" s="373">
        <f ca="1">Main!$D$18</f>
        <v>0.04</v>
      </c>
      <c r="F17" s="367"/>
      <c r="G17" s="368"/>
      <c r="H17" s="368"/>
      <c r="I17" s="368"/>
      <c r="J17" s="368"/>
      <c r="K17" s="368"/>
      <c r="L17" s="368"/>
      <c r="M17" s="368"/>
      <c r="N17" s="368"/>
      <c r="O17" s="368"/>
      <c r="P17" s="369"/>
    </row>
    <row r="18" spans="2:16" x14ac:dyDescent="0.25">
      <c r="B18" s="514"/>
      <c r="C18" s="420">
        <f ca="1">Main!C19</f>
        <v>1.5</v>
      </c>
      <c r="D18" s="378">
        <f ca="1">Main!$D$19</f>
        <v>7.0000000000000007E-2</v>
      </c>
      <c r="F18" s="367"/>
      <c r="G18" s="368"/>
      <c r="H18" s="368"/>
      <c r="I18" s="368"/>
      <c r="J18" s="368"/>
      <c r="K18" s="368"/>
      <c r="L18" s="368"/>
      <c r="M18" s="368"/>
      <c r="N18" s="368"/>
      <c r="O18" s="368"/>
      <c r="P18" s="369"/>
    </row>
    <row r="19" spans="2:16" x14ac:dyDescent="0.25">
      <c r="B19" s="326"/>
      <c r="C19" s="70"/>
      <c r="D19" s="327"/>
      <c r="F19" s="367"/>
      <c r="G19" s="368"/>
      <c r="H19" s="368"/>
      <c r="I19" s="368"/>
      <c r="J19" s="368"/>
      <c r="K19" s="368"/>
      <c r="L19" s="368"/>
      <c r="M19" s="368"/>
      <c r="N19" s="368"/>
      <c r="O19" s="368"/>
      <c r="P19" s="369"/>
    </row>
    <row r="20" spans="2:16" x14ac:dyDescent="0.25">
      <c r="B20" s="306" t="str">
        <f>Main!B21</f>
        <v>Assets</v>
      </c>
      <c r="C20" s="328">
        <f>Main!C21</f>
        <v>120</v>
      </c>
      <c r="D20" s="327"/>
      <c r="F20" s="367"/>
      <c r="G20" s="368"/>
      <c r="H20" s="368"/>
      <c r="I20" s="368"/>
      <c r="J20" s="368"/>
      <c r="K20" s="368"/>
      <c r="L20" s="368"/>
      <c r="M20" s="368"/>
      <c r="N20" s="368"/>
      <c r="O20" s="368"/>
      <c r="P20" s="369"/>
    </row>
    <row r="21" spans="2:16" x14ac:dyDescent="0.25">
      <c r="B21" s="306" t="str">
        <f>Main!B22</f>
        <v>Base year</v>
      </c>
      <c r="C21" s="328">
        <f>Main!C22</f>
        <v>2020</v>
      </c>
      <c r="D21" s="327"/>
      <c r="F21" s="367"/>
      <c r="G21" s="368"/>
      <c r="H21" s="368"/>
      <c r="I21" s="368"/>
      <c r="J21" s="368"/>
      <c r="K21" s="368"/>
      <c r="L21" s="368"/>
      <c r="M21" s="368"/>
      <c r="N21" s="368"/>
      <c r="O21" s="368"/>
      <c r="P21" s="369"/>
    </row>
    <row r="22" spans="2:16" x14ac:dyDescent="0.25">
      <c r="B22" s="306" t="str">
        <f>Main!B23</f>
        <v>Length of initial phase (yrs)</v>
      </c>
      <c r="C22" s="328">
        <f>Main!$C$23</f>
        <v>3</v>
      </c>
      <c r="D22" s="327"/>
      <c r="F22" s="367"/>
      <c r="G22" s="368"/>
      <c r="H22" s="368"/>
      <c r="I22" s="368"/>
      <c r="J22" s="368"/>
      <c r="K22" s="368"/>
      <c r="L22" s="368"/>
      <c r="M22" s="368"/>
      <c r="N22" s="368"/>
      <c r="O22" s="368"/>
      <c r="P22" s="369"/>
    </row>
    <row r="23" spans="2:16" x14ac:dyDescent="0.25">
      <c r="B23" s="306" t="str">
        <f>Main!B24</f>
        <v>Length of fade period (yrs)</v>
      </c>
      <c r="C23" s="328">
        <f>Main!$C$24</f>
        <v>3</v>
      </c>
      <c r="D23" s="327"/>
      <c r="F23" s="367"/>
      <c r="G23" s="368"/>
      <c r="H23" s="368"/>
      <c r="I23" s="368"/>
      <c r="J23" s="368"/>
      <c r="K23" s="368"/>
      <c r="L23" s="368"/>
      <c r="M23" s="368"/>
      <c r="N23" s="368"/>
      <c r="O23" s="368"/>
      <c r="P23" s="369"/>
    </row>
    <row r="24" spans="2:16" x14ac:dyDescent="0.25">
      <c r="B24" s="329" t="str">
        <f>Main!B25</f>
        <v>Chosen scenario (1 or 2)</v>
      </c>
      <c r="C24" s="330">
        <f>Main!I168</f>
        <v>1</v>
      </c>
      <c r="D24" s="331"/>
      <c r="F24" s="367"/>
      <c r="G24" s="368"/>
      <c r="H24" s="368"/>
      <c r="I24" s="368"/>
      <c r="J24" s="368"/>
      <c r="K24" s="368"/>
      <c r="L24" s="368"/>
      <c r="M24" s="368"/>
      <c r="N24" s="368"/>
      <c r="O24" s="368"/>
      <c r="P24" s="369"/>
    </row>
    <row r="25" spans="2:16" x14ac:dyDescent="0.25">
      <c r="F25" s="367"/>
      <c r="G25" s="368"/>
      <c r="H25" s="368"/>
      <c r="I25" s="368"/>
      <c r="J25" s="368"/>
      <c r="K25" s="368"/>
      <c r="L25" s="368"/>
      <c r="M25" s="368"/>
      <c r="N25" s="368"/>
      <c r="O25" s="368"/>
      <c r="P25" s="369"/>
    </row>
    <row r="26" spans="2:16" x14ac:dyDescent="0.25">
      <c r="B26" s="484" t="str">
        <f>"The chart to the right shows the effect on " &amp; F5 &amp; " in " &amp; J5 &amp; " of increasing each assumption (on the horizontal axis of the chart) by 1%"</f>
        <v>The chart to the right shows the effect on P/E ratio in 2023 of increasing each assumption (on the horizontal axis of the chart) by 1%</v>
      </c>
      <c r="C26" s="485"/>
      <c r="D26" s="486"/>
      <c r="F26" s="367"/>
      <c r="G26" s="368"/>
      <c r="H26" s="368"/>
      <c r="I26" s="368"/>
      <c r="J26" s="368"/>
      <c r="K26" s="368"/>
      <c r="L26" s="368"/>
      <c r="M26" s="368"/>
      <c r="N26" s="368"/>
      <c r="O26" s="368"/>
      <c r="P26" s="369"/>
    </row>
    <row r="27" spans="2:16" x14ac:dyDescent="0.25">
      <c r="B27" s="487"/>
      <c r="C27" s="488"/>
      <c r="D27" s="489"/>
      <c r="F27" s="367"/>
      <c r="G27" s="368"/>
      <c r="H27" s="368"/>
      <c r="I27" s="368"/>
      <c r="J27" s="368"/>
      <c r="K27" s="368"/>
      <c r="L27" s="368"/>
      <c r="M27" s="368"/>
      <c r="N27" s="368"/>
      <c r="O27" s="368"/>
      <c r="P27" s="369"/>
    </row>
    <row r="28" spans="2:16" x14ac:dyDescent="0.25">
      <c r="B28" s="487"/>
      <c r="C28" s="488"/>
      <c r="D28" s="489"/>
      <c r="F28" s="367"/>
      <c r="G28" s="368"/>
      <c r="H28" s="368"/>
      <c r="I28" s="368"/>
      <c r="J28" s="368"/>
      <c r="K28" s="368"/>
      <c r="L28" s="368"/>
      <c r="M28" s="368"/>
      <c r="N28" s="368"/>
      <c r="O28" s="368"/>
      <c r="P28" s="369"/>
    </row>
    <row r="29" spans="2:16" x14ac:dyDescent="0.25">
      <c r="B29" s="487"/>
      <c r="C29" s="488"/>
      <c r="D29" s="489"/>
      <c r="F29" s="367"/>
      <c r="G29" s="368"/>
      <c r="H29" s="368"/>
      <c r="I29" s="368"/>
      <c r="J29" s="368"/>
      <c r="K29" s="368"/>
      <c r="L29" s="368"/>
      <c r="M29" s="368"/>
      <c r="N29" s="368"/>
      <c r="O29" s="368"/>
      <c r="P29" s="369"/>
    </row>
    <row r="30" spans="2:16" x14ac:dyDescent="0.25">
      <c r="B30" s="487"/>
      <c r="C30" s="488"/>
      <c r="D30" s="489"/>
      <c r="F30" s="367"/>
      <c r="G30" s="368"/>
      <c r="H30" s="368"/>
      <c r="I30" s="368"/>
      <c r="J30" s="368"/>
      <c r="K30" s="368"/>
      <c r="L30" s="368"/>
      <c r="M30" s="368"/>
      <c r="N30" s="368"/>
      <c r="O30" s="368"/>
      <c r="P30" s="369"/>
    </row>
    <row r="31" spans="2:16" x14ac:dyDescent="0.25">
      <c r="B31" s="490"/>
      <c r="C31" s="491"/>
      <c r="D31" s="492"/>
      <c r="F31" s="367"/>
      <c r="G31" s="368"/>
      <c r="H31" s="368"/>
      <c r="I31" s="368"/>
      <c r="J31" s="368"/>
      <c r="K31" s="368"/>
      <c r="L31" s="368"/>
      <c r="M31" s="368"/>
      <c r="N31" s="368"/>
      <c r="O31" s="368"/>
      <c r="P31" s="369"/>
    </row>
    <row r="32" spans="2:16" x14ac:dyDescent="0.25">
      <c r="F32" s="367"/>
      <c r="G32" s="368"/>
      <c r="H32" s="368"/>
      <c r="I32" s="368"/>
      <c r="J32" s="368"/>
      <c r="K32" s="368"/>
      <c r="L32" s="368"/>
      <c r="M32" s="368"/>
      <c r="N32" s="368"/>
      <c r="O32" s="368"/>
      <c r="P32" s="369"/>
    </row>
    <row r="33" spans="2:19" ht="13" thickBot="1" x14ac:dyDescent="0.3">
      <c r="F33" s="421"/>
      <c r="G33" s="383"/>
      <c r="H33" s="383"/>
      <c r="I33" s="383"/>
      <c r="J33" s="383"/>
      <c r="K33" s="383"/>
      <c r="L33" s="383"/>
      <c r="M33" s="383"/>
      <c r="N33" s="383"/>
      <c r="O33" s="383"/>
      <c r="P33" s="384"/>
    </row>
    <row r="34" spans="2:19" x14ac:dyDescent="0.25">
      <c r="G34" s="60"/>
      <c r="H34" s="60"/>
      <c r="I34" s="60"/>
      <c r="J34" s="60"/>
      <c r="K34" s="60"/>
      <c r="L34" s="60"/>
      <c r="M34" s="60"/>
      <c r="N34" s="60"/>
      <c r="O34" s="60"/>
      <c r="P34" s="60"/>
      <c r="Q34" s="60"/>
      <c r="R34" s="60"/>
      <c r="S34" s="60"/>
    </row>
    <row r="35" spans="2:19" x14ac:dyDescent="0.25">
      <c r="C35" s="438" t="str">
        <f>Main!C142</f>
        <v>^ Disclaimer:  Tykoh Group Pty Limited ("Tykoh") disclaims all warranties of quality, accuracy, correctness, or fitness for a particular purpose.  This spreadsheet is for educational use only and should not be used for pricing or risk management purposes. Copyright (c) 2012 Tykoh Group Pty Limited.  All rights reserved.</v>
      </c>
      <c r="D35" s="528"/>
      <c r="E35" s="528"/>
      <c r="F35" s="528"/>
      <c r="G35" s="528"/>
      <c r="H35" s="528"/>
      <c r="I35" s="528"/>
      <c r="J35" s="528"/>
      <c r="K35" s="528"/>
      <c r="L35" s="528"/>
      <c r="M35" s="529"/>
      <c r="N35" s="60"/>
      <c r="O35" s="60"/>
      <c r="P35" s="60"/>
      <c r="Q35" s="60"/>
      <c r="R35" s="60"/>
      <c r="S35" s="60"/>
    </row>
    <row r="36" spans="2:19" x14ac:dyDescent="0.25">
      <c r="C36" s="530"/>
      <c r="D36" s="531"/>
      <c r="E36" s="531"/>
      <c r="F36" s="531"/>
      <c r="G36" s="531"/>
      <c r="H36" s="531"/>
      <c r="I36" s="531"/>
      <c r="J36" s="531"/>
      <c r="K36" s="531"/>
      <c r="L36" s="531"/>
      <c r="M36" s="532"/>
      <c r="N36" s="60"/>
      <c r="O36" s="60"/>
      <c r="P36" s="60"/>
      <c r="Q36" s="60"/>
      <c r="R36" s="60"/>
      <c r="S36" s="60"/>
    </row>
    <row r="37" spans="2:19" x14ac:dyDescent="0.25">
      <c r="C37" s="533"/>
      <c r="D37" s="534"/>
      <c r="E37" s="534"/>
      <c r="F37" s="534"/>
      <c r="G37" s="534"/>
      <c r="H37" s="534"/>
      <c r="I37" s="534"/>
      <c r="J37" s="534"/>
      <c r="K37" s="534"/>
      <c r="L37" s="534"/>
      <c r="M37" s="535"/>
      <c r="N37" s="60"/>
      <c r="O37" s="60"/>
      <c r="P37" s="60"/>
      <c r="Q37" s="60"/>
      <c r="R37" s="60"/>
      <c r="S37" s="60"/>
    </row>
    <row r="38" spans="2:19" x14ac:dyDescent="0.25">
      <c r="G38" s="60"/>
      <c r="H38" s="60"/>
      <c r="I38" s="60"/>
      <c r="J38" s="60"/>
      <c r="K38" s="60"/>
      <c r="L38" s="60"/>
      <c r="M38" s="60"/>
      <c r="N38" s="60"/>
      <c r="O38" s="60"/>
      <c r="P38" s="60"/>
      <c r="Q38" s="60"/>
      <c r="R38" s="60"/>
      <c r="S38" s="60"/>
    </row>
    <row r="39" spans="2:19" x14ac:dyDescent="0.25">
      <c r="F39" s="431" t="str">
        <f>Main!F146</f>
        <v>www.tykoh.com</v>
      </c>
      <c r="G39" s="431"/>
      <c r="H39" s="431"/>
      <c r="I39" s="60"/>
      <c r="J39" s="60"/>
      <c r="K39" s="60"/>
      <c r="L39" s="60"/>
      <c r="M39" s="60"/>
      <c r="N39" s="60"/>
      <c r="O39" s="60"/>
      <c r="P39" s="60"/>
      <c r="Q39" s="60"/>
      <c r="R39" s="60"/>
      <c r="S39" s="60"/>
    </row>
    <row r="40" spans="2:19" x14ac:dyDescent="0.25">
      <c r="G40" s="60"/>
      <c r="H40" s="60"/>
      <c r="I40" s="60"/>
      <c r="J40" s="60"/>
      <c r="K40" s="60"/>
      <c r="L40" s="60"/>
      <c r="M40" s="60"/>
      <c r="N40" s="60"/>
      <c r="O40" s="60"/>
      <c r="P40" s="60"/>
      <c r="Q40" s="60"/>
      <c r="R40" s="60"/>
      <c r="S40" s="60"/>
    </row>
    <row r="41" spans="2:19" ht="13" hidden="1" thickBot="1" x14ac:dyDescent="0.3">
      <c r="G41" s="60"/>
      <c r="H41" s="60"/>
      <c r="I41" s="60"/>
      <c r="J41" s="60"/>
      <c r="K41" s="60"/>
      <c r="L41" s="60"/>
      <c r="M41" s="60"/>
      <c r="N41" s="60"/>
      <c r="O41" s="60"/>
      <c r="P41" s="60"/>
      <c r="Q41" s="60"/>
      <c r="R41" s="60"/>
      <c r="S41" s="60"/>
    </row>
    <row r="42" spans="2:19" hidden="1" x14ac:dyDescent="0.25">
      <c r="B42" s="518" t="str">
        <f>Main!$B$128</f>
        <v>You can put a comment here</v>
      </c>
      <c r="C42" s="519"/>
      <c r="D42" s="519"/>
      <c r="E42" s="519"/>
      <c r="F42" s="519"/>
      <c r="G42" s="519"/>
      <c r="H42" s="519"/>
      <c r="I42" s="519"/>
      <c r="J42" s="519"/>
      <c r="K42" s="519"/>
      <c r="L42" s="519"/>
      <c r="M42" s="519"/>
      <c r="N42" s="519"/>
      <c r="O42" s="520"/>
      <c r="P42" s="60"/>
      <c r="Q42" s="60"/>
      <c r="R42" s="60"/>
      <c r="S42" s="60"/>
    </row>
    <row r="43" spans="2:19" ht="13" hidden="1" thickBot="1" x14ac:dyDescent="0.3">
      <c r="B43" s="521"/>
      <c r="C43" s="522"/>
      <c r="D43" s="522"/>
      <c r="E43" s="522"/>
      <c r="F43" s="522"/>
      <c r="G43" s="522"/>
      <c r="H43" s="522"/>
      <c r="I43" s="522"/>
      <c r="J43" s="522"/>
      <c r="K43" s="522"/>
      <c r="L43" s="522"/>
      <c r="M43" s="522"/>
      <c r="N43" s="522"/>
      <c r="O43" s="523"/>
    </row>
  </sheetData>
  <sheetProtection algorithmName="SHA-512" hashValue="P6SZaPJP/fhrvhq6+2AN2iGNpWFa0G3dL+R0ESvs2cWQH/ij84i3wyeJCumu69TL8qSdAAhaj2fMXQAiKQPXxQ==" saltValue="4A/lqVQop3pC5ki+XFNF+Q==" spinCount="100000" sheet="1" objects="1" scenarios="1"/>
  <mergeCells count="10">
    <mergeCell ref="F1:I1"/>
    <mergeCell ref="O1:P1"/>
    <mergeCell ref="F4:P4"/>
    <mergeCell ref="F5:H5"/>
    <mergeCell ref="B2:P3"/>
    <mergeCell ref="B42:O43"/>
    <mergeCell ref="B13:B18"/>
    <mergeCell ref="C35:M37"/>
    <mergeCell ref="F39:H39"/>
    <mergeCell ref="B26:D31"/>
  </mergeCells>
  <phoneticPr fontId="4" type="noConversion"/>
  <conditionalFormatting sqref="B2:P3">
    <cfRule type="expression" dxfId="2" priority="1" stopIfTrue="1">
      <formula>LEN($B$2)&gt;0</formula>
    </cfRule>
  </conditionalFormatting>
  <dataValidations count="2">
    <dataValidation type="list" allowBlank="1" showInputMessage="1" showErrorMessage="1" sqref="J5" xr:uid="{00000000-0002-0000-0400-000000000000}">
      <formula1>OFFSET(period_table,0,0,chart_points,1)</formula1>
    </dataValidation>
    <dataValidation type="list" allowBlank="1" showInputMessage="1" showErrorMessage="1" sqref="F5" xr:uid="{00000000-0002-0000-0400-000001000000}">
      <formula1>sens_chart_choices</formula1>
    </dataValidation>
  </dataValidations>
  <hyperlinks>
    <hyperlink ref="B6" location="hyper_roc2" display="hyper_roc2" xr:uid="{00000000-0004-0000-0400-000000000000}"/>
    <hyperlink ref="B7" location="hyper_leverage" display="hyper_leverage" xr:uid="{00000000-0004-0000-0400-000001000000}"/>
    <hyperlink ref="B8" location="hyper_depn_rate" display="hyper_depn_rate" xr:uid="{00000000-0004-0000-0400-000002000000}"/>
    <hyperlink ref="B9" location="hyper_tax_rate" display="hyper_tax_rate" xr:uid="{00000000-0004-0000-0400-000003000000}"/>
    <hyperlink ref="B10" location="hyper_risk_free_rate" display="hyper_risk_free_rate" xr:uid="{00000000-0004-0000-0400-000004000000}"/>
    <hyperlink ref="B12" location="hyper_growth" display="hyper_growth" xr:uid="{00000000-0004-0000-0400-000005000000}"/>
    <hyperlink ref="B11" location="hyper_unlevered_coe" display="hyper_unlevered_coe" xr:uid="{00000000-0004-0000-0400-000006000000}"/>
    <hyperlink ref="B20" location="hyper_opening_assets" display="hyper_opening_assets" xr:uid="{00000000-0004-0000-0400-000007000000}"/>
    <hyperlink ref="B21" location="hyper_base_year" display="hyper_base_year" xr:uid="{00000000-0004-0000-0400-000008000000}"/>
    <hyperlink ref="B22" location="hyper_first_phase" display="hyper_first_phase" xr:uid="{00000000-0004-0000-0400-000009000000}"/>
    <hyperlink ref="B23" location="hyper_fade" display="hyper_fade" xr:uid="{00000000-0004-0000-0400-00000A000000}"/>
    <hyperlink ref="B24" location="hyper_scenario" display="hyper_scenario" xr:uid="{00000000-0004-0000-0400-00000B000000}"/>
    <hyperlink ref="B5" location="hyper_phase" display="hyper_phase" xr:uid="{00000000-0004-0000-0400-00000C000000}"/>
    <hyperlink ref="F39:H39" r:id="rId1" display="https://www.tykoh.com/?rfr=vm" xr:uid="{00000000-0004-0000-0400-00000D000000}"/>
    <hyperlink ref="O1:P1" r:id="rId2" display="http://www.tykoh.com/downloads/TykohValuationUtility_1_1.pdf" xr:uid="{00000000-0004-0000-0400-00000E000000}"/>
    <hyperlink ref="B1" location="Introduction!A1" display="Introduction!A1" xr:uid="{00000000-0004-0000-0400-00000F000000}"/>
    <hyperlink ref="B13:B18" location="hyper_interest_margin" display="hyper_interest_margin" xr:uid="{00000000-0004-0000-0400-000010000000}"/>
  </hyperlinks>
  <pageMargins left="0.75" right="0.75" top="1" bottom="1" header="0.5" footer="0.5"/>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36"/>
  <sheetViews>
    <sheetView showGridLines="0" showRowColHeaders="0" workbookViewId="0"/>
  </sheetViews>
  <sheetFormatPr defaultColWidth="0" defaultRowHeight="12.5" zeroHeight="1" x14ac:dyDescent="0.25"/>
  <cols>
    <col min="1" max="1" width="1.7265625" style="24" customWidth="1"/>
    <col min="2" max="2" width="23.453125" style="24" customWidth="1"/>
    <col min="3" max="16" width="9.1796875" style="24" customWidth="1"/>
    <col min="17" max="17" width="1.7265625" style="24" customWidth="1"/>
    <col min="18" max="16384" width="0" style="24" hidden="1"/>
  </cols>
  <sheetData>
    <row r="1" spans="2:16" ht="13.5" thickTop="1" thickBot="1" x14ac:dyDescent="0.3">
      <c r="B1" s="297" t="str">
        <f>Main!B1</f>
        <v>Introduction</v>
      </c>
      <c r="F1" s="433" t="str">
        <f>Main!F1</f>
        <v>Tykoh Valuation Model (^)</v>
      </c>
      <c r="G1" s="433"/>
      <c r="H1" s="433"/>
      <c r="I1" s="433"/>
      <c r="J1" s="298" t="str">
        <f>Main!J1</f>
        <v>v1.1</v>
      </c>
      <c r="O1" s="482" t="str">
        <f>Main!O1</f>
        <v>User guide</v>
      </c>
      <c r="P1" s="435"/>
    </row>
    <row r="2" spans="2:16" ht="13" thickTop="1" x14ac:dyDescent="0.25">
      <c r="B2" s="437" t="str">
        <f ca="1">J12</f>
        <v/>
      </c>
      <c r="C2" s="437"/>
      <c r="D2" s="437"/>
      <c r="E2" s="437"/>
      <c r="F2" s="437"/>
      <c r="G2" s="437"/>
      <c r="H2" s="437"/>
      <c r="I2" s="437"/>
      <c r="J2" s="437"/>
      <c r="K2" s="437"/>
      <c r="L2" s="437"/>
      <c r="M2" s="437"/>
      <c r="N2" s="437"/>
      <c r="O2" s="437"/>
      <c r="P2" s="437"/>
    </row>
    <row r="3" spans="2:16" ht="13" thickBot="1" x14ac:dyDescent="0.3">
      <c r="B3" s="437"/>
      <c r="C3" s="437"/>
      <c r="D3" s="437"/>
      <c r="E3" s="437"/>
      <c r="F3" s="437"/>
      <c r="G3" s="437"/>
      <c r="H3" s="437"/>
      <c r="I3" s="437"/>
      <c r="J3" s="437"/>
      <c r="K3" s="437"/>
      <c r="L3" s="437"/>
      <c r="M3" s="437"/>
      <c r="N3" s="437"/>
      <c r="O3" s="437"/>
      <c r="P3" s="437"/>
    </row>
    <row r="4" spans="2:16" x14ac:dyDescent="0.25">
      <c r="B4" s="345" t="s">
        <v>180</v>
      </c>
      <c r="C4" s="565">
        <f>Main!F4</f>
        <v>1</v>
      </c>
      <c r="D4" s="566"/>
      <c r="E4" s="565">
        <f>Main!I4</f>
        <v>2</v>
      </c>
      <c r="F4" s="566"/>
      <c r="H4" s="562" t="s">
        <v>361</v>
      </c>
      <c r="I4" s="563"/>
      <c r="J4" s="563"/>
      <c r="K4" s="563"/>
      <c r="L4" s="563"/>
      <c r="M4" s="563"/>
      <c r="N4" s="563"/>
      <c r="O4" s="563"/>
      <c r="P4" s="564"/>
    </row>
    <row r="5" spans="2:16" x14ac:dyDescent="0.25">
      <c r="B5" s="300" t="str">
        <f>Main!B5</f>
        <v>Phase</v>
      </c>
      <c r="C5" s="348" t="str">
        <f>PROPER(initial)</f>
        <v>Initial</v>
      </c>
      <c r="D5" s="416" t="str">
        <f>PROPER(final)</f>
        <v>Terminal</v>
      </c>
      <c r="E5" s="348" t="str">
        <f>C5</f>
        <v>Initial</v>
      </c>
      <c r="F5" s="416" t="str">
        <f>D5</f>
        <v>Terminal</v>
      </c>
      <c r="H5" s="558" t="s">
        <v>90</v>
      </c>
      <c r="I5" s="560"/>
      <c r="J5" s="561"/>
      <c r="K5" s="417" t="s">
        <v>183</v>
      </c>
      <c r="L5" s="57">
        <v>2022</v>
      </c>
      <c r="M5" s="309"/>
      <c r="N5" s="309"/>
      <c r="O5" s="309"/>
      <c r="P5" s="335"/>
    </row>
    <row r="6" spans="2:16" x14ac:dyDescent="0.25">
      <c r="B6" s="306" t="str">
        <f>Main!B6</f>
        <v>Return on capital</v>
      </c>
      <c r="C6" s="357">
        <f>Main!F6</f>
        <v>0.12</v>
      </c>
      <c r="D6" s="358">
        <f>Main!G6</f>
        <v>0.1</v>
      </c>
      <c r="E6" s="357">
        <f>Main!I6</f>
        <v>0.1</v>
      </c>
      <c r="F6" s="358">
        <f>Main!J6</f>
        <v>0.1</v>
      </c>
      <c r="H6" s="386"/>
      <c r="I6" s="387"/>
      <c r="J6" s="387"/>
      <c r="K6" s="387"/>
      <c r="L6" s="387"/>
      <c r="M6" s="387"/>
      <c r="N6" s="387"/>
      <c r="O6" s="387"/>
      <c r="P6" s="385"/>
    </row>
    <row r="7" spans="2:16" x14ac:dyDescent="0.25">
      <c r="B7" s="306" t="str">
        <f>Main!B7</f>
        <v>Debt / equity ratio</v>
      </c>
      <c r="C7" s="357">
        <f>Main!F7</f>
        <v>0.5</v>
      </c>
      <c r="D7" s="358">
        <f>Main!G7</f>
        <v>0.1</v>
      </c>
      <c r="E7" s="357">
        <f>Main!I7</f>
        <v>0.9</v>
      </c>
      <c r="F7" s="358">
        <f>Main!J7</f>
        <v>0.6</v>
      </c>
      <c r="H7" s="386"/>
      <c r="I7" s="387"/>
      <c r="J7" s="387"/>
      <c r="K7" s="387"/>
      <c r="L7" s="387"/>
      <c r="M7" s="387"/>
      <c r="N7" s="387"/>
      <c r="O7" s="387"/>
      <c r="P7" s="385"/>
    </row>
    <row r="8" spans="2:16" x14ac:dyDescent="0.25">
      <c r="B8" s="306" t="str">
        <f>Main!B8</f>
        <v>Depreciation rate</v>
      </c>
      <c r="C8" s="357">
        <f>Main!F8</f>
        <v>0.02</v>
      </c>
      <c r="D8" s="358">
        <f>Main!G8</f>
        <v>0.02</v>
      </c>
      <c r="E8" s="357">
        <f>Main!I8</f>
        <v>0</v>
      </c>
      <c r="F8" s="358">
        <f>Main!J8</f>
        <v>0</v>
      </c>
      <c r="H8" s="386"/>
      <c r="I8" s="387"/>
      <c r="J8" s="387"/>
      <c r="K8" s="387"/>
      <c r="L8" s="387"/>
      <c r="M8" s="387"/>
      <c r="N8" s="387"/>
      <c r="O8" s="387"/>
      <c r="P8" s="385"/>
    </row>
    <row r="9" spans="2:16" x14ac:dyDescent="0.25">
      <c r="B9" s="306" t="str">
        <f>Main!B9</f>
        <v>Tax rate</v>
      </c>
      <c r="C9" s="357">
        <f>Main!F9</f>
        <v>0.3</v>
      </c>
      <c r="D9" s="358">
        <f>Main!G9</f>
        <v>0.3</v>
      </c>
      <c r="E9" s="357">
        <f>Main!I9</f>
        <v>0.4</v>
      </c>
      <c r="F9" s="358">
        <f>Main!J9</f>
        <v>0.4</v>
      </c>
      <c r="H9" s="386"/>
      <c r="I9" s="387"/>
      <c r="J9" s="387"/>
      <c r="K9" s="387"/>
      <c r="L9" s="387"/>
      <c r="M9" s="387"/>
      <c r="N9" s="387"/>
      <c r="O9" s="387"/>
      <c r="P9" s="385"/>
    </row>
    <row r="10" spans="2:16" x14ac:dyDescent="0.25">
      <c r="B10" s="306" t="str">
        <f>Main!B10</f>
        <v>Risk free rate</v>
      </c>
      <c r="C10" s="357">
        <f>Main!F10</f>
        <v>0.04</v>
      </c>
      <c r="D10" s="358">
        <f>Main!G10</f>
        <v>0.04</v>
      </c>
      <c r="E10" s="357">
        <f>Main!I10</f>
        <v>0.04</v>
      </c>
      <c r="F10" s="358">
        <f>Main!J10</f>
        <v>0.05</v>
      </c>
      <c r="H10" s="386"/>
      <c r="I10" s="387"/>
      <c r="J10" s="387"/>
      <c r="K10" s="387"/>
      <c r="L10" s="387"/>
      <c r="M10" s="387"/>
      <c r="N10" s="387"/>
      <c r="O10" s="387"/>
      <c r="P10" s="385"/>
    </row>
    <row r="11" spans="2:16" x14ac:dyDescent="0.25">
      <c r="B11" s="314" t="str">
        <f>Main!B11</f>
        <v>Equity margin</v>
      </c>
      <c r="C11" s="363">
        <f>Main!F11</f>
        <v>7.0000000000000007E-2</v>
      </c>
      <c r="D11" s="364">
        <f>Main!G11</f>
        <v>7.0000000000000007E-2</v>
      </c>
      <c r="E11" s="363">
        <f>Main!I11</f>
        <v>7.0000000000000007E-2</v>
      </c>
      <c r="F11" s="364">
        <f>Main!J11</f>
        <v>7.0000000000000007E-2</v>
      </c>
      <c r="H11" s="386"/>
      <c r="I11" s="387"/>
      <c r="J11" s="387" t="str">
        <f>IF(J10="",K11,J10)</f>
        <v/>
      </c>
      <c r="K11" s="387" t="str">
        <f>IF(OR(L5&lt;base_year,L5&gt;base_year+chart_points), "In cell " &amp; ADDRESS(ROW(L5),COLUMN(L5),4) &amp; " select " &amp; IF(chart_points = 1,base_year, "a year between (and including) " &amp; base_year &amp; " and  " &amp; base_year + chart_points -1),"")</f>
        <v/>
      </c>
      <c r="L11" s="387" t="s">
        <v>364</v>
      </c>
      <c r="M11" s="387"/>
      <c r="N11" s="387"/>
      <c r="O11" s="387"/>
      <c r="P11" s="385"/>
    </row>
    <row r="12" spans="2:16" x14ac:dyDescent="0.25">
      <c r="B12" s="306" t="str">
        <f>Main!B12</f>
        <v>Growth rate</v>
      </c>
      <c r="C12" s="365">
        <f>Main!F12</f>
        <v>0.05</v>
      </c>
      <c r="D12" s="366">
        <f>Main!G12</f>
        <v>0.02</v>
      </c>
      <c r="E12" s="365">
        <f>Main!I12</f>
        <v>0.03</v>
      </c>
      <c r="F12" s="366">
        <f>Main!J12</f>
        <v>0.03</v>
      </c>
      <c r="H12" s="386"/>
      <c r="I12" s="387"/>
      <c r="J12" s="387" t="str">
        <f ca="1">IF(J11="",K12,J11)</f>
        <v/>
      </c>
      <c r="K12" s="387" t="str">
        <f ca="1">Charts!C137</f>
        <v/>
      </c>
      <c r="L12" s="387" t="s">
        <v>365</v>
      </c>
      <c r="M12" s="387"/>
      <c r="N12" s="387"/>
      <c r="O12" s="387"/>
      <c r="P12" s="385"/>
    </row>
    <row r="13" spans="2:16" ht="25" x14ac:dyDescent="0.25">
      <c r="B13" s="554" t="str">
        <f>Main!B13</f>
        <v>Coverage ratio / interest margin</v>
      </c>
      <c r="C13" s="418" t="str">
        <f>Main!C14</f>
        <v>Coverage ratio</v>
      </c>
      <c r="D13" s="302" t="str">
        <f>Main!D14</f>
        <v>Interest margin</v>
      </c>
      <c r="E13" s="418" t="str">
        <f>C13</f>
        <v>Coverage ratio</v>
      </c>
      <c r="F13" s="302" t="str">
        <f>D13</f>
        <v>Interest margin</v>
      </c>
      <c r="H13" s="386"/>
      <c r="I13" s="387"/>
      <c r="J13" s="387"/>
      <c r="K13" s="387"/>
      <c r="L13" s="387"/>
      <c r="M13" s="387"/>
      <c r="N13" s="387"/>
      <c r="O13" s="387"/>
      <c r="P13" s="385"/>
    </row>
    <row r="14" spans="2:16" x14ac:dyDescent="0.25">
      <c r="B14" s="513"/>
      <c r="C14" s="419">
        <f>Main!F15</f>
        <v>7.5</v>
      </c>
      <c r="D14" s="373">
        <f>Main!G15</f>
        <v>5.0000000000000001E-3</v>
      </c>
      <c r="E14" s="419">
        <f>Main!I15</f>
        <v>8</v>
      </c>
      <c r="F14" s="373">
        <f>Main!J15</f>
        <v>5.0000000000000001E-3</v>
      </c>
      <c r="H14" s="386"/>
      <c r="I14" s="387"/>
      <c r="J14" s="387"/>
      <c r="K14" s="387"/>
      <c r="L14" s="387"/>
      <c r="M14" s="387"/>
      <c r="N14" s="387"/>
      <c r="O14" s="387"/>
      <c r="P14" s="385"/>
    </row>
    <row r="15" spans="2:16" x14ac:dyDescent="0.25">
      <c r="B15" s="513"/>
      <c r="C15" s="419">
        <f>Main!F16</f>
        <v>6</v>
      </c>
      <c r="D15" s="373">
        <f>Main!G16</f>
        <v>0.01</v>
      </c>
      <c r="E15" s="419">
        <f>Main!I16</f>
        <v>6.5</v>
      </c>
      <c r="F15" s="373">
        <f>Main!J16</f>
        <v>0.01</v>
      </c>
      <c r="H15" s="386"/>
      <c r="I15" s="387"/>
      <c r="J15" s="387"/>
      <c r="K15" s="387"/>
      <c r="L15" s="387"/>
      <c r="M15" s="387"/>
      <c r="N15" s="387"/>
      <c r="O15" s="387"/>
      <c r="P15" s="385"/>
    </row>
    <row r="16" spans="2:16" x14ac:dyDescent="0.25">
      <c r="B16" s="513"/>
      <c r="C16" s="419">
        <f>Main!F17</f>
        <v>4.5</v>
      </c>
      <c r="D16" s="373">
        <f>Main!G17</f>
        <v>0.02</v>
      </c>
      <c r="E16" s="419">
        <f>Main!I17</f>
        <v>5</v>
      </c>
      <c r="F16" s="373">
        <f>Main!J17</f>
        <v>1.4999999999999999E-2</v>
      </c>
      <c r="H16" s="386"/>
      <c r="I16" s="387"/>
      <c r="J16" s="387"/>
      <c r="K16" s="387"/>
      <c r="L16" s="387"/>
      <c r="M16" s="387"/>
      <c r="N16" s="387"/>
      <c r="O16" s="387"/>
      <c r="P16" s="385"/>
    </row>
    <row r="17" spans="2:16" x14ac:dyDescent="0.25">
      <c r="B17" s="513"/>
      <c r="C17" s="419">
        <f>Main!F18</f>
        <v>3</v>
      </c>
      <c r="D17" s="373">
        <f>Main!G18</f>
        <v>0.04</v>
      </c>
      <c r="E17" s="419">
        <f>Main!I18</f>
        <v>3.5</v>
      </c>
      <c r="F17" s="373">
        <f>Main!J18</f>
        <v>0.02</v>
      </c>
      <c r="H17" s="386"/>
      <c r="I17" s="387"/>
      <c r="J17" s="387"/>
      <c r="K17" s="387"/>
      <c r="L17" s="387"/>
      <c r="M17" s="387"/>
      <c r="N17" s="387"/>
      <c r="O17" s="387"/>
      <c r="P17" s="385"/>
    </row>
    <row r="18" spans="2:16" x14ac:dyDescent="0.25">
      <c r="B18" s="514"/>
      <c r="C18" s="420">
        <f>Main!F19</f>
        <v>1.5</v>
      </c>
      <c r="D18" s="378">
        <f>Main!G19</f>
        <v>7.0000000000000007E-2</v>
      </c>
      <c r="E18" s="420">
        <f>Main!I19</f>
        <v>2</v>
      </c>
      <c r="F18" s="378">
        <f>Main!J19</f>
        <v>2.5000000000000001E-2</v>
      </c>
      <c r="H18" s="386"/>
      <c r="I18" s="387"/>
      <c r="J18" s="387"/>
      <c r="K18" s="387"/>
      <c r="L18" s="387"/>
      <c r="M18" s="387"/>
      <c r="N18" s="387"/>
      <c r="O18" s="387"/>
      <c r="P18" s="385"/>
    </row>
    <row r="19" spans="2:16" x14ac:dyDescent="0.25">
      <c r="B19" s="326"/>
      <c r="C19" s="70"/>
      <c r="D19" s="327"/>
      <c r="H19" s="386"/>
      <c r="I19" s="387"/>
      <c r="J19" s="387"/>
      <c r="K19" s="387"/>
      <c r="L19" s="387"/>
      <c r="M19" s="387"/>
      <c r="N19" s="387"/>
      <c r="O19" s="387"/>
      <c r="P19" s="385"/>
    </row>
    <row r="20" spans="2:16" x14ac:dyDescent="0.25">
      <c r="B20" s="306" t="str">
        <f>Main!B21</f>
        <v>Assets</v>
      </c>
      <c r="C20" s="328">
        <f>Main!C21</f>
        <v>120</v>
      </c>
      <c r="D20" s="327"/>
      <c r="H20" s="386"/>
      <c r="I20" s="387"/>
      <c r="J20" s="387"/>
      <c r="K20" s="387"/>
      <c r="L20" s="387"/>
      <c r="M20" s="387"/>
      <c r="N20" s="387"/>
      <c r="O20" s="387"/>
      <c r="P20" s="385"/>
    </row>
    <row r="21" spans="2:16" x14ac:dyDescent="0.25">
      <c r="B21" s="306" t="str">
        <f>Main!B22</f>
        <v>Base year</v>
      </c>
      <c r="C21" s="328">
        <f>Main!C22</f>
        <v>2020</v>
      </c>
      <c r="D21" s="327"/>
      <c r="H21" s="386"/>
      <c r="I21" s="387"/>
      <c r="J21" s="387"/>
      <c r="K21" s="387"/>
      <c r="L21" s="387"/>
      <c r="M21" s="387"/>
      <c r="N21" s="387"/>
      <c r="O21" s="387"/>
      <c r="P21" s="385"/>
    </row>
    <row r="22" spans="2:16" x14ac:dyDescent="0.25">
      <c r="B22" s="306" t="str">
        <f>Main!B23</f>
        <v>Length of initial phase (yrs)</v>
      </c>
      <c r="C22" s="328">
        <f>Main!$C$23</f>
        <v>3</v>
      </c>
      <c r="D22" s="327"/>
      <c r="H22" s="386"/>
      <c r="I22" s="387"/>
      <c r="J22" s="387"/>
      <c r="K22" s="387"/>
      <c r="L22" s="387"/>
      <c r="M22" s="387"/>
      <c r="N22" s="387"/>
      <c r="O22" s="387"/>
      <c r="P22" s="385"/>
    </row>
    <row r="23" spans="2:16" x14ac:dyDescent="0.25">
      <c r="B23" s="306" t="str">
        <f>Main!B24</f>
        <v>Length of fade period (yrs)</v>
      </c>
      <c r="C23" s="328">
        <f>Main!$C$24</f>
        <v>3</v>
      </c>
      <c r="D23" s="327"/>
      <c r="H23" s="386"/>
      <c r="I23" s="387"/>
      <c r="J23" s="387"/>
      <c r="K23" s="387"/>
      <c r="L23" s="387"/>
      <c r="M23" s="387"/>
      <c r="N23" s="387"/>
      <c r="O23" s="387"/>
      <c r="P23" s="385"/>
    </row>
    <row r="24" spans="2:16" x14ac:dyDescent="0.25">
      <c r="B24" s="329" t="str">
        <f>Main!B25</f>
        <v>Chosen scenario (1 or 2)</v>
      </c>
      <c r="C24" s="330">
        <f>Main!I168</f>
        <v>1</v>
      </c>
      <c r="D24" s="331"/>
      <c r="H24" s="386"/>
      <c r="I24" s="387"/>
      <c r="J24" s="387"/>
      <c r="K24" s="387"/>
      <c r="L24" s="387"/>
      <c r="M24" s="387"/>
      <c r="N24" s="387"/>
      <c r="O24" s="387"/>
      <c r="P24" s="385"/>
    </row>
    <row r="25" spans="2:16" x14ac:dyDescent="0.25">
      <c r="H25" s="386"/>
      <c r="I25" s="387"/>
      <c r="J25" s="387"/>
      <c r="K25" s="387"/>
      <c r="L25" s="387"/>
      <c r="M25" s="387"/>
      <c r="N25" s="387"/>
      <c r="O25" s="387"/>
      <c r="P25" s="385"/>
    </row>
    <row r="26" spans="2:16" x14ac:dyDescent="0.25">
      <c r="B26" s="484" t="str">
        <f ca="1">IF(ISERROR(Charts!H125),B2,Charts!H125)</f>
        <v>The market value of equity in 2022 for scenario 1 is 83.92 and for scenario 2 it is 66.98.  The chart to the right shows where the difference between the scenarios comes from.  Only factors that have a material effect on the difference are shown.</v>
      </c>
      <c r="C26" s="485"/>
      <c r="D26" s="485"/>
      <c r="E26" s="485"/>
      <c r="F26" s="486"/>
      <c r="H26" s="386"/>
      <c r="I26" s="387"/>
      <c r="J26" s="387"/>
      <c r="K26" s="387"/>
      <c r="L26" s="387"/>
      <c r="M26" s="387"/>
      <c r="N26" s="387"/>
      <c r="O26" s="387"/>
      <c r="P26" s="385"/>
    </row>
    <row r="27" spans="2:16" x14ac:dyDescent="0.25">
      <c r="B27" s="487"/>
      <c r="C27" s="488"/>
      <c r="D27" s="488"/>
      <c r="E27" s="488"/>
      <c r="F27" s="489"/>
      <c r="H27" s="386"/>
      <c r="I27" s="387"/>
      <c r="J27" s="387"/>
      <c r="K27" s="387"/>
      <c r="L27" s="387"/>
      <c r="M27" s="387"/>
      <c r="N27" s="387"/>
      <c r="O27" s="387"/>
      <c r="P27" s="385"/>
    </row>
    <row r="28" spans="2:16" ht="13" thickBot="1" x14ac:dyDescent="0.3">
      <c r="B28" s="487"/>
      <c r="C28" s="488"/>
      <c r="D28" s="488"/>
      <c r="E28" s="488"/>
      <c r="F28" s="489"/>
      <c r="H28" s="393"/>
      <c r="I28" s="394"/>
      <c r="J28" s="394"/>
      <c r="K28" s="394"/>
      <c r="L28" s="394"/>
      <c r="M28" s="394"/>
      <c r="N28" s="394"/>
      <c r="O28" s="394"/>
      <c r="P28" s="395"/>
    </row>
    <row r="29" spans="2:16" x14ac:dyDescent="0.25">
      <c r="B29" s="490"/>
      <c r="C29" s="491"/>
      <c r="D29" s="491"/>
      <c r="E29" s="491"/>
      <c r="F29" s="492"/>
    </row>
    <row r="30" spans="2:16" x14ac:dyDescent="0.25"/>
    <row r="31" spans="2:16" x14ac:dyDescent="0.25">
      <c r="C31" s="438" t="str">
        <f>Main!C142</f>
        <v>^ Disclaimer:  Tykoh Group Pty Limited ("Tykoh") disclaims all warranties of quality, accuracy, correctness, or fitness for a particular purpose.  This spreadsheet is for educational use only and should not be used for pricing or risk management purposes. Copyright (c) 2012 Tykoh Group Pty Limited.  All rights reserved.</v>
      </c>
      <c r="D31" s="528"/>
      <c r="E31" s="528"/>
      <c r="F31" s="528"/>
      <c r="G31" s="528"/>
      <c r="H31" s="528"/>
      <c r="I31" s="528"/>
      <c r="J31" s="528"/>
      <c r="K31" s="528"/>
      <c r="L31" s="528"/>
      <c r="M31" s="529"/>
    </row>
    <row r="32" spans="2:16" x14ac:dyDescent="0.25">
      <c r="C32" s="530"/>
      <c r="D32" s="531"/>
      <c r="E32" s="531"/>
      <c r="F32" s="531"/>
      <c r="G32" s="531"/>
      <c r="H32" s="531"/>
      <c r="I32" s="531"/>
      <c r="J32" s="531"/>
      <c r="K32" s="531"/>
      <c r="L32" s="531"/>
      <c r="M32" s="532"/>
    </row>
    <row r="33" spans="3:13" x14ac:dyDescent="0.25">
      <c r="C33" s="533"/>
      <c r="D33" s="534"/>
      <c r="E33" s="534"/>
      <c r="F33" s="534"/>
      <c r="G33" s="534"/>
      <c r="H33" s="534"/>
      <c r="I33" s="534"/>
      <c r="J33" s="534"/>
      <c r="K33" s="534"/>
      <c r="L33" s="534"/>
      <c r="M33" s="535"/>
    </row>
    <row r="34" spans="3:13" x14ac:dyDescent="0.25"/>
    <row r="35" spans="3:13" x14ac:dyDescent="0.25">
      <c r="F35" s="431" t="str">
        <f>Main!F146</f>
        <v>www.tykoh.com</v>
      </c>
      <c r="G35" s="431"/>
      <c r="H35" s="431"/>
    </row>
    <row r="36" spans="3:13" x14ac:dyDescent="0.25"/>
  </sheetData>
  <sheetProtection algorithmName="SHA-512" hashValue="01tNhME71P3+IXtiejx3OwQ4Z248p8X5zZbaH/dc1osiRINWS9CxAB6cgIcVQ1MXoCKu+X7hQA10zSJEuOYVkQ==" saltValue="oFFQ82fqJ22Ccc6W1aKScw==" spinCount="100000" sheet="1" objects="1" scenarios="1"/>
  <mergeCells count="11">
    <mergeCell ref="F1:I1"/>
    <mergeCell ref="O1:P1"/>
    <mergeCell ref="B2:P3"/>
    <mergeCell ref="B13:B18"/>
    <mergeCell ref="C4:D4"/>
    <mergeCell ref="E4:F4"/>
    <mergeCell ref="H5:J5"/>
    <mergeCell ref="H4:P4"/>
    <mergeCell ref="C31:M33"/>
    <mergeCell ref="F35:H35"/>
    <mergeCell ref="B26:F29"/>
  </mergeCells>
  <phoneticPr fontId="4" type="noConversion"/>
  <conditionalFormatting sqref="B2:P3">
    <cfRule type="expression" dxfId="1" priority="1" stopIfTrue="1">
      <formula>LEN($B$2)&gt;0</formula>
    </cfRule>
  </conditionalFormatting>
  <conditionalFormatting sqref="B26:F29">
    <cfRule type="expression" dxfId="0" priority="2" stopIfTrue="1">
      <formula>OR(LEN(H5)&gt;0,LEN(L5)&gt;0)</formula>
    </cfRule>
  </conditionalFormatting>
  <dataValidations count="2">
    <dataValidation type="list" allowBlank="1" showInputMessage="1" showErrorMessage="1" sqref="H5" xr:uid="{00000000-0002-0000-0500-000000000000}">
      <formula1>sens_chart_choices</formula1>
    </dataValidation>
    <dataValidation type="list" allowBlank="1" showInputMessage="1" showErrorMessage="1" sqref="L5" xr:uid="{00000000-0002-0000-0500-000001000000}">
      <formula1>OFFSET(period_table,0,0,chart_points,1)</formula1>
    </dataValidation>
  </dataValidations>
  <hyperlinks>
    <hyperlink ref="O1:P1" r:id="rId1" display="http://www.tykoh.com/downloads/TykohValuationUtility_1_1.pdf" xr:uid="{00000000-0004-0000-0500-000000000000}"/>
    <hyperlink ref="B1" location="Introduction!A1" display="Introduction!A1" xr:uid="{00000000-0004-0000-0500-000001000000}"/>
    <hyperlink ref="B6" location="hyper_roc2" display="hyper_roc2" xr:uid="{00000000-0004-0000-0500-000002000000}"/>
    <hyperlink ref="B7" location="hyper_leverage" display="hyper_leverage" xr:uid="{00000000-0004-0000-0500-000003000000}"/>
    <hyperlink ref="B8" location="hyper_depn_rate" display="hyper_depn_rate" xr:uid="{00000000-0004-0000-0500-000004000000}"/>
    <hyperlink ref="B9" location="hyper_tax_rate" display="hyper_tax_rate" xr:uid="{00000000-0004-0000-0500-000005000000}"/>
    <hyperlink ref="B10" location="hyper_risk_free_rate" display="hyper_risk_free_rate" xr:uid="{00000000-0004-0000-0500-000006000000}"/>
    <hyperlink ref="B12" location="hyper_growth" display="hyper_growth" xr:uid="{00000000-0004-0000-0500-000007000000}"/>
    <hyperlink ref="B11" location="hyper_unlevered_coe" display="hyper_unlevered_coe" xr:uid="{00000000-0004-0000-0500-000008000000}"/>
    <hyperlink ref="B20" location="hyper_opening_assets" display="hyper_opening_assets" xr:uid="{00000000-0004-0000-0500-000009000000}"/>
    <hyperlink ref="B21" location="hyper_base_year" display="hyper_base_year" xr:uid="{00000000-0004-0000-0500-00000A000000}"/>
    <hyperlink ref="B22" location="hyper_first_phase" display="hyper_first_phase" xr:uid="{00000000-0004-0000-0500-00000B000000}"/>
    <hyperlink ref="B23" location="hyper_fade" display="hyper_fade" xr:uid="{00000000-0004-0000-0500-00000C000000}"/>
    <hyperlink ref="B24" location="hyper_scenario" display="hyper_scenario" xr:uid="{00000000-0004-0000-0500-00000D000000}"/>
    <hyperlink ref="B5" location="hyper_phase" display="hyper_phase" xr:uid="{00000000-0004-0000-0500-00000E000000}"/>
    <hyperlink ref="B13:B18" location="hyper_interest_margin" display="hyper_interest_margin" xr:uid="{00000000-0004-0000-0500-00000F000000}"/>
    <hyperlink ref="F35:H35" r:id="rId2" display="https://www.tykoh.com/?rfr=vm" xr:uid="{00000000-0004-0000-0500-000010000000}"/>
  </hyperlinks>
  <pageMargins left="0.75" right="0.75" top="1" bottom="1" header="0.5" footer="0.5"/>
  <pageSetup paperSize="9" orientation="portrait" r:id="rId3"/>
  <headerFooter alignWithMargins="0"/>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137"/>
  <sheetViews>
    <sheetView topLeftCell="A109" workbookViewId="0"/>
  </sheetViews>
  <sheetFormatPr defaultColWidth="9.1796875" defaultRowHeight="12.5" x14ac:dyDescent="0.25"/>
  <cols>
    <col min="1" max="1" width="13.81640625" style="24" customWidth="1"/>
    <col min="2" max="2" width="19.26953125" style="24" customWidth="1"/>
    <col min="3" max="3" width="16.54296875" style="24" customWidth="1"/>
    <col min="4" max="4" width="10.1796875" style="24" bestFit="1" customWidth="1"/>
    <col min="5" max="11" width="9.26953125" style="24" bestFit="1" customWidth="1"/>
    <col min="12" max="12" width="9.453125" style="24" bestFit="1" customWidth="1"/>
    <col min="13" max="13" width="9.26953125" style="24" bestFit="1" customWidth="1"/>
    <col min="14" max="14" width="9.453125" style="24" bestFit="1" customWidth="1"/>
    <col min="15" max="15" width="9.26953125" style="24" bestFit="1" customWidth="1"/>
    <col min="16" max="16" width="9.453125" style="24" bestFit="1" customWidth="1"/>
    <col min="17" max="17" width="9.26953125" style="24" bestFit="1" customWidth="1"/>
    <col min="18" max="16384" width="9.1796875" style="24"/>
  </cols>
  <sheetData>
    <row r="1" spans="1:22" ht="13" x14ac:dyDescent="0.3">
      <c r="A1" s="17" t="s">
        <v>259</v>
      </c>
    </row>
    <row r="2" spans="1:22" x14ac:dyDescent="0.25">
      <c r="A2" s="24" t="s">
        <v>76</v>
      </c>
      <c r="B2" s="24">
        <f>COLUMN(data_start_column)-COLUMN(chartable_items)</f>
        <v>2</v>
      </c>
    </row>
    <row r="3" spans="1:22" x14ac:dyDescent="0.25">
      <c r="A3" s="24" t="s">
        <v>75</v>
      </c>
      <c r="B3" s="24">
        <f>Main!C23+Main!C24</f>
        <v>6</v>
      </c>
    </row>
    <row r="5" spans="1:22" x14ac:dyDescent="0.25">
      <c r="A5" s="24" t="s">
        <v>78</v>
      </c>
      <c r="B5" s="27" t="s">
        <v>97</v>
      </c>
      <c r="C5" s="24">
        <f>Main!C22</f>
        <v>2020</v>
      </c>
      <c r="D5" s="24">
        <f>C5+1</f>
        <v>2021</v>
      </c>
      <c r="E5" s="24">
        <f t="shared" ref="E5:V5" si="0">D5+1</f>
        <v>2022</v>
      </c>
      <c r="F5" s="24">
        <f t="shared" si="0"/>
        <v>2023</v>
      </c>
      <c r="G5" s="24">
        <f t="shared" si="0"/>
        <v>2024</v>
      </c>
      <c r="H5" s="24">
        <f t="shared" si="0"/>
        <v>2025</v>
      </c>
      <c r="I5" s="24">
        <f t="shared" si="0"/>
        <v>2026</v>
      </c>
      <c r="J5" s="24">
        <f t="shared" si="0"/>
        <v>2027</v>
      </c>
      <c r="K5" s="24">
        <f t="shared" si="0"/>
        <v>2028</v>
      </c>
      <c r="L5" s="24">
        <f t="shared" si="0"/>
        <v>2029</v>
      </c>
      <c r="M5" s="24">
        <f t="shared" si="0"/>
        <v>2030</v>
      </c>
      <c r="N5" s="24">
        <f t="shared" si="0"/>
        <v>2031</v>
      </c>
      <c r="O5" s="24">
        <f t="shared" si="0"/>
        <v>2032</v>
      </c>
      <c r="P5" s="24">
        <f t="shared" si="0"/>
        <v>2033</v>
      </c>
      <c r="Q5" s="24">
        <f t="shared" si="0"/>
        <v>2034</v>
      </c>
      <c r="R5" s="24">
        <f t="shared" si="0"/>
        <v>2035</v>
      </c>
      <c r="S5" s="24">
        <f t="shared" si="0"/>
        <v>2036</v>
      </c>
      <c r="T5" s="24">
        <f t="shared" si="0"/>
        <v>2037</v>
      </c>
      <c r="U5" s="24">
        <f t="shared" si="0"/>
        <v>2038</v>
      </c>
      <c r="V5" s="24">
        <f t="shared" si="0"/>
        <v>2039</v>
      </c>
    </row>
    <row r="6" spans="1:22" x14ac:dyDescent="0.25">
      <c r="B6" s="27"/>
    </row>
    <row r="7" spans="1:22" ht="13" x14ac:dyDescent="0.3">
      <c r="A7" s="28">
        <v>1</v>
      </c>
      <c r="B7" s="27" t="s">
        <v>93</v>
      </c>
      <c r="C7" s="24">
        <f t="array" aca="1" ref="C7:V7" ca="1">OFFSET(INDIRECT(series_1_name_1),0,1,1,chart_points)</f>
        <v>0.12</v>
      </c>
      <c r="D7" s="24">
        <f ca="1"/>
        <v>0.12</v>
      </c>
      <c r="E7" s="24">
        <f ca="1"/>
        <v>0.12</v>
      </c>
      <c r="F7" s="24">
        <f ca="1"/>
        <v>0.11333333333333333</v>
      </c>
      <c r="G7" s="24">
        <f ca="1"/>
        <v>0.10666666666666667</v>
      </c>
      <c r="H7" s="24">
        <f ca="1"/>
        <v>0.1</v>
      </c>
      <c r="I7" s="24" t="e">
        <f ca="1"/>
        <v>#N/A</v>
      </c>
      <c r="J7" s="24" t="e">
        <f ca="1"/>
        <v>#N/A</v>
      </c>
      <c r="K7" s="24" t="e">
        <f ca="1"/>
        <v>#N/A</v>
      </c>
      <c r="L7" s="24" t="e">
        <f ca="1"/>
        <v>#N/A</v>
      </c>
      <c r="M7" s="24" t="e">
        <f ca="1"/>
        <v>#N/A</v>
      </c>
      <c r="N7" s="24" t="e">
        <f ca="1"/>
        <v>#N/A</v>
      </c>
      <c r="O7" s="24" t="e">
        <f ca="1"/>
        <v>#N/A</v>
      </c>
      <c r="P7" s="24" t="e">
        <f ca="1"/>
        <v>#N/A</v>
      </c>
      <c r="Q7" s="24" t="e">
        <f ca="1"/>
        <v>#N/A</v>
      </c>
      <c r="R7" s="24" t="e">
        <f ca="1"/>
        <v>#N/A</v>
      </c>
      <c r="S7" s="24" t="e">
        <f ca="1"/>
        <v>#N/A</v>
      </c>
      <c r="T7" s="24" t="e">
        <f ca="1"/>
        <v>#N/A</v>
      </c>
      <c r="U7" s="24" t="e">
        <f ca="1"/>
        <v>#N/A</v>
      </c>
      <c r="V7" s="24" t="e">
        <f ca="1"/>
        <v>#N/A</v>
      </c>
    </row>
    <row r="8" spans="1:22" x14ac:dyDescent="0.25">
      <c r="A8" s="3"/>
      <c r="B8" s="27" t="s">
        <v>94</v>
      </c>
      <c r="C8" s="24">
        <f t="array" aca="1" ref="C8:V8" ca="1">OFFSET(INDIRECT(series_1_name_2),0,1,1,chart_points)</f>
        <v>0.13419570669035974</v>
      </c>
      <c r="D8" s="24">
        <f ca="1"/>
        <v>0.13491787926298826</v>
      </c>
      <c r="E8" s="24">
        <f ca="1"/>
        <v>0.13572972111792056</v>
      </c>
      <c r="F8" s="24">
        <f ca="1"/>
        <v>0.12940101169496052</v>
      </c>
      <c r="G8" s="24">
        <f ca="1"/>
        <v>0.12250606139198217</v>
      </c>
      <c r="H8" s="24">
        <f ca="1"/>
        <v>0.11535844471445318</v>
      </c>
      <c r="I8" s="24" t="e">
        <f ca="1"/>
        <v>#N/A</v>
      </c>
      <c r="J8" s="24" t="e">
        <f ca="1"/>
        <v>#N/A</v>
      </c>
      <c r="K8" s="24" t="e">
        <f ca="1"/>
        <v>#N/A</v>
      </c>
      <c r="L8" s="24" t="e">
        <f ca="1"/>
        <v>#N/A</v>
      </c>
      <c r="M8" s="24" t="e">
        <f ca="1"/>
        <v>#N/A</v>
      </c>
      <c r="N8" s="24" t="e">
        <f ca="1"/>
        <v>#N/A</v>
      </c>
      <c r="O8" s="24" t="e">
        <f ca="1"/>
        <v>#N/A</v>
      </c>
      <c r="P8" s="24" t="e">
        <f ca="1"/>
        <v>#N/A</v>
      </c>
      <c r="Q8" s="24" t="e">
        <f ca="1"/>
        <v>#N/A</v>
      </c>
      <c r="R8" s="24" t="e">
        <f ca="1"/>
        <v>#N/A</v>
      </c>
      <c r="S8" s="24" t="e">
        <f ca="1"/>
        <v>#N/A</v>
      </c>
      <c r="T8" s="24" t="e">
        <f ca="1"/>
        <v>#N/A</v>
      </c>
      <c r="U8" s="24" t="e">
        <f ca="1"/>
        <v>#N/A</v>
      </c>
      <c r="V8" s="24" t="e">
        <f ca="1"/>
        <v>#N/A</v>
      </c>
    </row>
    <row r="9" spans="1:22" x14ac:dyDescent="0.25">
      <c r="A9" s="3"/>
      <c r="B9" s="27" t="s">
        <v>95</v>
      </c>
      <c r="C9" s="24">
        <f t="array" aca="1" ref="C9:V9" ca="1">OFFSET(INDIRECT(series_1_name_3),0,1,1,chart_points)</f>
        <v>2.8036656984995256E-2</v>
      </c>
      <c r="D9" s="24">
        <f ca="1"/>
        <v>2.8036656984995256E-2</v>
      </c>
      <c r="E9" s="24">
        <f ca="1"/>
        <v>2.8036656984995256E-2</v>
      </c>
      <c r="F9" s="24">
        <f ca="1"/>
        <v>2.8006442866431665E-2</v>
      </c>
      <c r="G9" s="24">
        <f ca="1"/>
        <v>2.8000131947490663E-2</v>
      </c>
      <c r="H9" s="24">
        <f ca="1"/>
        <v>2.800000000005607E-2</v>
      </c>
      <c r="I9" s="24" t="e">
        <f ca="1"/>
        <v>#N/A</v>
      </c>
      <c r="J9" s="24" t="e">
        <f ca="1"/>
        <v>#N/A</v>
      </c>
      <c r="K9" s="24" t="e">
        <f ca="1"/>
        <v>#N/A</v>
      </c>
      <c r="L9" s="24" t="e">
        <f ca="1"/>
        <v>#N/A</v>
      </c>
      <c r="M9" s="24" t="e">
        <f ca="1"/>
        <v>#N/A</v>
      </c>
      <c r="N9" s="24" t="e">
        <f ca="1"/>
        <v>#N/A</v>
      </c>
      <c r="O9" s="24" t="e">
        <f ca="1"/>
        <v>#N/A</v>
      </c>
      <c r="P9" s="24" t="e">
        <f ca="1"/>
        <v>#N/A</v>
      </c>
      <c r="Q9" s="24" t="e">
        <f ca="1"/>
        <v>#N/A</v>
      </c>
      <c r="R9" s="24" t="e">
        <f ca="1"/>
        <v>#N/A</v>
      </c>
      <c r="S9" s="24" t="e">
        <f ca="1"/>
        <v>#N/A</v>
      </c>
      <c r="T9" s="24" t="e">
        <f ca="1"/>
        <v>#N/A</v>
      </c>
      <c r="U9" s="24" t="e">
        <f ca="1"/>
        <v>#N/A</v>
      </c>
      <c r="V9" s="24" t="e">
        <f ca="1"/>
        <v>#N/A</v>
      </c>
    </row>
    <row r="10" spans="1:22" x14ac:dyDescent="0.25">
      <c r="A10" s="3"/>
      <c r="B10" s="27"/>
    </row>
    <row r="11" spans="1:22" x14ac:dyDescent="0.25">
      <c r="A11" s="27"/>
      <c r="B11" s="24">
        <f ca="1">MAX(C7:C9)+0.005</f>
        <v>0.13919570669035974</v>
      </c>
      <c r="C11" s="24" t="s">
        <v>103</v>
      </c>
    </row>
    <row r="12" spans="1:22" x14ac:dyDescent="0.25">
      <c r="A12" s="27"/>
      <c r="B12" s="24">
        <f ca="1">MAX(C7:C9)-0.005</f>
        <v>0.12919570669035974</v>
      </c>
      <c r="C12" s="24" t="s">
        <v>104</v>
      </c>
      <c r="D12" s="29"/>
    </row>
    <row r="13" spans="1:22" x14ac:dyDescent="0.25">
      <c r="A13" s="3"/>
      <c r="B13" s="27" t="s">
        <v>96</v>
      </c>
      <c r="C13" s="24">
        <f ca="1">B12</f>
        <v>0.12919570669035974</v>
      </c>
      <c r="D13" s="24">
        <f t="shared" ref="D13:R13" ca="1" si="1">C13+($B11-$B12)/chart_points</f>
        <v>0.13086237335702641</v>
      </c>
      <c r="E13" s="24">
        <f t="shared" ca="1" si="1"/>
        <v>0.13252904002369309</v>
      </c>
      <c r="F13" s="24">
        <f t="shared" ca="1" si="1"/>
        <v>0.13419570669035977</v>
      </c>
      <c r="G13" s="24">
        <f t="shared" ca="1" si="1"/>
        <v>0.13586237335702644</v>
      </c>
      <c r="H13" s="24">
        <f t="shared" ca="1" si="1"/>
        <v>0.13752904002369312</v>
      </c>
      <c r="I13" s="24">
        <f t="shared" ca="1" si="1"/>
        <v>0.1391957066903598</v>
      </c>
      <c r="J13" s="24">
        <f t="shared" ca="1" si="1"/>
        <v>0.14086237335702648</v>
      </c>
      <c r="K13" s="24">
        <f t="shared" ca="1" si="1"/>
        <v>0.14252904002369315</v>
      </c>
      <c r="L13" s="24">
        <f t="shared" ca="1" si="1"/>
        <v>0.14419570669035983</v>
      </c>
      <c r="M13" s="24">
        <f t="shared" ca="1" si="1"/>
        <v>0.14586237335702651</v>
      </c>
      <c r="N13" s="24">
        <f t="shared" ca="1" si="1"/>
        <v>0.14752904002369319</v>
      </c>
      <c r="O13" s="24">
        <f t="shared" ca="1" si="1"/>
        <v>0.14919570669035986</v>
      </c>
      <c r="P13" s="24">
        <f t="shared" ca="1" si="1"/>
        <v>0.15086237335702654</v>
      </c>
      <c r="Q13" s="24">
        <f t="shared" ca="1" si="1"/>
        <v>0.15252904002369322</v>
      </c>
      <c r="R13" s="24">
        <f t="shared" ca="1" si="1"/>
        <v>0.1541957066903599</v>
      </c>
      <c r="S13" s="24">
        <f ca="1">R13+($B11-$B12)/chart_points</f>
        <v>0.15586237335702657</v>
      </c>
      <c r="T13" s="24">
        <f ca="1">S13+($B11-$B12)/chart_points</f>
        <v>0.15752904002369325</v>
      </c>
      <c r="U13" s="24">
        <f ca="1">T13+($B11-$B12)/chart_points</f>
        <v>0.15919570669035993</v>
      </c>
      <c r="V13" s="24">
        <f ca="1">U13+($B11-$B12)/chart_points</f>
        <v>0.16086237335702661</v>
      </c>
    </row>
    <row r="14" spans="1:22" x14ac:dyDescent="0.25">
      <c r="A14" s="3"/>
    </row>
    <row r="15" spans="1:22" ht="13" x14ac:dyDescent="0.3">
      <c r="A15" s="28">
        <f>A7+1</f>
        <v>2</v>
      </c>
      <c r="B15" s="27" t="s">
        <v>100</v>
      </c>
      <c r="C15" s="24">
        <f t="array" aca="1" ref="C15:V15" ca="1">OFFSET(INDIRECT(series_2_name_1),0,1,1,chart_points)</f>
        <v>6.0959671966373126</v>
      </c>
      <c r="D15" s="24">
        <f ca="1"/>
        <v>5.9192932402949019</v>
      </c>
      <c r="E15" s="24">
        <f ca="1"/>
        <v>5.7325236293043567</v>
      </c>
      <c r="F15" s="24">
        <f ca="1"/>
        <v>6.4026253360346388</v>
      </c>
      <c r="G15" s="24">
        <f ca="1"/>
        <v>7.3124689070369939</v>
      </c>
      <c r="H15" s="24">
        <f ca="1"/>
        <v>8.5302653399672774</v>
      </c>
      <c r="I15" s="24" t="e">
        <f ca="1"/>
        <v>#N/A</v>
      </c>
      <c r="J15" s="24" t="e">
        <f ca="1"/>
        <v>#N/A</v>
      </c>
      <c r="K15" s="24" t="e">
        <f ca="1"/>
        <v>#N/A</v>
      </c>
      <c r="L15" s="24" t="e">
        <f ca="1"/>
        <v>#N/A</v>
      </c>
      <c r="M15" s="24" t="e">
        <f ca="1"/>
        <v>#N/A</v>
      </c>
      <c r="N15" s="24" t="e">
        <f ca="1"/>
        <v>#N/A</v>
      </c>
      <c r="O15" s="24" t="e">
        <f ca="1"/>
        <v>#N/A</v>
      </c>
      <c r="P15" s="24" t="e">
        <f ca="1"/>
        <v>#N/A</v>
      </c>
      <c r="Q15" s="24" t="e">
        <f ca="1"/>
        <v>#N/A</v>
      </c>
      <c r="R15" s="24" t="e">
        <f ca="1"/>
        <v>#N/A</v>
      </c>
      <c r="S15" s="24" t="e">
        <f ca="1"/>
        <v>#N/A</v>
      </c>
      <c r="T15" s="24" t="e">
        <f ca="1"/>
        <v>#N/A</v>
      </c>
      <c r="U15" s="24" t="e">
        <f ca="1"/>
        <v>#N/A</v>
      </c>
      <c r="V15" s="24" t="e">
        <f ca="1"/>
        <v>#N/A</v>
      </c>
    </row>
    <row r="16" spans="1:22" x14ac:dyDescent="0.25">
      <c r="B16" s="27" t="s">
        <v>101</v>
      </c>
      <c r="C16" s="24">
        <f t="array" ref="C16:V16" ca="1">OFFSET(INDIRECT(series_2_name_2),0,1,1,chart_points)</f>
        <v>0.5</v>
      </c>
      <c r="D16" s="24">
        <f ca="1"/>
        <v>0.5</v>
      </c>
      <c r="E16" s="24">
        <f ca="1"/>
        <v>0.5</v>
      </c>
      <c r="F16" s="24">
        <f ca="1"/>
        <v>0.3666666666666667</v>
      </c>
      <c r="G16" s="24">
        <f ca="1"/>
        <v>0.23333333333333334</v>
      </c>
      <c r="H16" s="24">
        <f ca="1"/>
        <v>9.9999999999999922E-2</v>
      </c>
      <c r="I16" s="24" t="e">
        <f ca="1"/>
        <v>#N/A</v>
      </c>
      <c r="J16" s="24" t="e">
        <f ca="1"/>
        <v>#N/A</v>
      </c>
      <c r="K16" s="24" t="e">
        <f ca="1"/>
        <v>#N/A</v>
      </c>
      <c r="L16" s="24" t="e">
        <f ca="1"/>
        <v>#N/A</v>
      </c>
      <c r="M16" s="24" t="e">
        <f ca="1"/>
        <v>#N/A</v>
      </c>
      <c r="N16" s="24" t="e">
        <f ca="1"/>
        <v>#N/A</v>
      </c>
      <c r="O16" s="24" t="e">
        <f ca="1"/>
        <v>#N/A</v>
      </c>
      <c r="P16" s="24" t="e">
        <f ca="1"/>
        <v>#N/A</v>
      </c>
      <c r="Q16" s="24" t="e">
        <f ca="1"/>
        <v>#N/A</v>
      </c>
      <c r="R16" s="24" t="e">
        <f ca="1"/>
        <v>#N/A</v>
      </c>
      <c r="S16" s="24" t="e">
        <f ca="1"/>
        <v>#N/A</v>
      </c>
      <c r="T16" s="24" t="e">
        <f ca="1"/>
        <v>#N/A</v>
      </c>
      <c r="U16" s="24" t="e">
        <f ca="1"/>
        <v>#N/A</v>
      </c>
      <c r="V16" s="24" t="e">
        <f ca="1"/>
        <v>#N/A</v>
      </c>
    </row>
    <row r="17" spans="1:22" x14ac:dyDescent="0.25">
      <c r="B17" s="27" t="s">
        <v>102</v>
      </c>
      <c r="C17" s="24">
        <f t="array" aca="1" ref="C17:V17" ca="1">OFFSET(INDIRECT(series_2_name_3),0,1,1,chart_points)</f>
        <v>5.2650406832185821</v>
      </c>
      <c r="D17" s="24">
        <f ca="1"/>
        <v>5.1629150762042055</v>
      </c>
      <c r="E17" s="24">
        <f ca="1"/>
        <v>5.0549537202175792</v>
      </c>
      <c r="F17" s="24">
        <f ca="1"/>
        <v>5.1995049838830418</v>
      </c>
      <c r="G17" s="24">
        <f ca="1"/>
        <v>5.397634456914731</v>
      </c>
      <c r="H17" s="24">
        <f ca="1"/>
        <v>5.6627680311890822</v>
      </c>
      <c r="I17" s="24" t="e">
        <f ca="1"/>
        <v>#N/A</v>
      </c>
      <c r="J17" s="24" t="e">
        <f ca="1"/>
        <v>#N/A</v>
      </c>
      <c r="K17" s="24" t="e">
        <f ca="1"/>
        <v>#N/A</v>
      </c>
      <c r="L17" s="24" t="e">
        <f ca="1"/>
        <v>#N/A</v>
      </c>
      <c r="M17" s="24" t="e">
        <f ca="1"/>
        <v>#N/A</v>
      </c>
      <c r="N17" s="24" t="e">
        <f ca="1"/>
        <v>#N/A</v>
      </c>
      <c r="O17" s="24" t="e">
        <f ca="1"/>
        <v>#N/A</v>
      </c>
      <c r="P17" s="24" t="e">
        <f ca="1"/>
        <v>#N/A</v>
      </c>
      <c r="Q17" s="24" t="e">
        <f ca="1"/>
        <v>#N/A</v>
      </c>
      <c r="R17" s="24" t="e">
        <f ca="1"/>
        <v>#N/A</v>
      </c>
      <c r="S17" s="24" t="e">
        <f ca="1"/>
        <v>#N/A</v>
      </c>
      <c r="T17" s="24" t="e">
        <f ca="1"/>
        <v>#N/A</v>
      </c>
      <c r="U17" s="24" t="e">
        <f ca="1"/>
        <v>#N/A</v>
      </c>
      <c r="V17" s="24" t="e">
        <f ca="1"/>
        <v>#N/A</v>
      </c>
    </row>
    <row r="19" spans="1:22" x14ac:dyDescent="0.25">
      <c r="B19" s="24">
        <f ca="1">MAX(C15:C17)+0.005</f>
        <v>6.1009671966373125</v>
      </c>
      <c r="C19" s="24" t="s">
        <v>103</v>
      </c>
    </row>
    <row r="20" spans="1:22" x14ac:dyDescent="0.25">
      <c r="B20" s="24">
        <f ca="1">MAX(C15:C17)-0.005</f>
        <v>6.0909671966373127</v>
      </c>
      <c r="C20" s="24" t="s">
        <v>104</v>
      </c>
    </row>
    <row r="21" spans="1:22" x14ac:dyDescent="0.25">
      <c r="A21" s="30"/>
      <c r="B21" s="27" t="s">
        <v>105</v>
      </c>
      <c r="C21" s="24">
        <f ca="1">B20</f>
        <v>6.0909671966373127</v>
      </c>
      <c r="D21" s="24">
        <f t="shared" ref="D21:V21" ca="1" si="2">C21+($B19-$B20)/chart_points</f>
        <v>6.0926338633039796</v>
      </c>
      <c r="E21" s="24">
        <f t="shared" ca="1" si="2"/>
        <v>6.0943005299706465</v>
      </c>
      <c r="F21" s="24">
        <f t="shared" ca="1" si="2"/>
        <v>6.0959671966373135</v>
      </c>
      <c r="G21" s="24">
        <f t="shared" ca="1" si="2"/>
        <v>6.0976338633039804</v>
      </c>
      <c r="H21" s="24">
        <f t="shared" ca="1" si="2"/>
        <v>6.0993005299706473</v>
      </c>
      <c r="I21" s="24">
        <f t="shared" ca="1" si="2"/>
        <v>6.1009671966373142</v>
      </c>
      <c r="J21" s="24">
        <f t="shared" ca="1" si="2"/>
        <v>6.1026338633039812</v>
      </c>
      <c r="K21" s="24">
        <f t="shared" ca="1" si="2"/>
        <v>6.1043005299706481</v>
      </c>
      <c r="L21" s="24">
        <f t="shared" ca="1" si="2"/>
        <v>6.105967196637315</v>
      </c>
      <c r="M21" s="24">
        <f t="shared" ca="1" si="2"/>
        <v>6.1076338633039819</v>
      </c>
      <c r="N21" s="24">
        <f t="shared" ca="1" si="2"/>
        <v>6.1093005299706489</v>
      </c>
      <c r="O21" s="24">
        <f t="shared" ca="1" si="2"/>
        <v>6.1109671966373158</v>
      </c>
      <c r="P21" s="24">
        <f t="shared" ca="1" si="2"/>
        <v>6.1126338633039827</v>
      </c>
      <c r="Q21" s="24">
        <f t="shared" ca="1" si="2"/>
        <v>6.1143005299706497</v>
      </c>
      <c r="R21" s="24">
        <f t="shared" ca="1" si="2"/>
        <v>6.1159671966373166</v>
      </c>
      <c r="S21" s="24">
        <f t="shared" ca="1" si="2"/>
        <v>6.1176338633039835</v>
      </c>
      <c r="T21" s="24">
        <f t="shared" ca="1" si="2"/>
        <v>6.1193005299706504</v>
      </c>
      <c r="U21" s="24">
        <f t="shared" ca="1" si="2"/>
        <v>6.1209671966373174</v>
      </c>
      <c r="V21" s="24">
        <f t="shared" ca="1" si="2"/>
        <v>6.1226338633039843</v>
      </c>
    </row>
    <row r="22" spans="1:22" x14ac:dyDescent="0.25">
      <c r="A22" s="30"/>
    </row>
    <row r="23" spans="1:22" x14ac:dyDescent="0.25">
      <c r="A23" s="30"/>
      <c r="B23" s="27" t="s">
        <v>148</v>
      </c>
      <c r="C23" s="24">
        <f t="array" aca="1" ref="C23:V23" ca="1">OFFSET(INDIRECT(series_3_name_1),0,1,1,chart_points)</f>
        <v>9.278533720600187</v>
      </c>
      <c r="D23" s="24">
        <f ca="1"/>
        <v>9.742460406630201</v>
      </c>
      <c r="E23" s="24">
        <f ca="1"/>
        <v>1.1944614757421981</v>
      </c>
      <c r="F23" s="24">
        <f ca="1"/>
        <v>-0.79410989412767741</v>
      </c>
      <c r="G23" s="24">
        <f ca="1"/>
        <v>-3.4938262148039669</v>
      </c>
      <c r="H23" s="24">
        <f ca="1"/>
        <v>11.79623747781743</v>
      </c>
      <c r="I23" s="24" t="e">
        <f ca="1"/>
        <v>#N/A</v>
      </c>
      <c r="J23" s="24" t="e">
        <f ca="1"/>
        <v>#N/A</v>
      </c>
      <c r="K23" s="24" t="e">
        <f ca="1"/>
        <v>#N/A</v>
      </c>
      <c r="L23" s="24" t="e">
        <f ca="1"/>
        <v>#N/A</v>
      </c>
      <c r="M23" s="24" t="e">
        <f ca="1"/>
        <v>#N/A</v>
      </c>
      <c r="N23" s="24" t="e">
        <f ca="1"/>
        <v>#N/A</v>
      </c>
      <c r="O23" s="24" t="e">
        <f ca="1"/>
        <v>#N/A</v>
      </c>
      <c r="P23" s="24" t="e">
        <f ca="1"/>
        <v>#N/A</v>
      </c>
      <c r="Q23" s="24" t="e">
        <f ca="1"/>
        <v>#N/A</v>
      </c>
      <c r="R23" s="24" t="e">
        <f ca="1"/>
        <v>#N/A</v>
      </c>
      <c r="S23" s="24" t="e">
        <f ca="1"/>
        <v>#N/A</v>
      </c>
      <c r="T23" s="24" t="e">
        <f ca="1"/>
        <v>#N/A</v>
      </c>
      <c r="U23" s="24" t="e">
        <f ca="1"/>
        <v>#N/A</v>
      </c>
      <c r="V23" s="24" t="e">
        <f ca="1"/>
        <v>#N/A</v>
      </c>
    </row>
    <row r="24" spans="1:22" x14ac:dyDescent="0.25">
      <c r="A24" s="31"/>
      <c r="B24" s="27" t="s">
        <v>149</v>
      </c>
      <c r="C24" s="24">
        <f t="array" aca="1" ref="C24:V24" ca="1">OFFSET(INDIRECT(series_3_name_2),0,1,1,chart_points)</f>
        <v>-1.9570430453467025</v>
      </c>
      <c r="D24" s="24">
        <f ca="1"/>
        <v>-2.1849821123629343</v>
      </c>
      <c r="E24" s="24">
        <f ca="1"/>
        <v>-2.3071500024740494</v>
      </c>
      <c r="F24" s="24">
        <f ca="1"/>
        <v>-2.2850877986192053</v>
      </c>
      <c r="G24" s="24">
        <f ca="1"/>
        <v>-2.2137356617664512</v>
      </c>
      <c r="H24" s="24">
        <f ca="1"/>
        <v>-2.1684509553047473</v>
      </c>
      <c r="I24" s="24" t="e">
        <f ca="1"/>
        <v>#N/A</v>
      </c>
      <c r="J24" s="24" t="e">
        <f ca="1"/>
        <v>#N/A</v>
      </c>
      <c r="K24" s="24" t="e">
        <f ca="1"/>
        <v>#N/A</v>
      </c>
      <c r="L24" s="24" t="e">
        <f ca="1"/>
        <v>#N/A</v>
      </c>
      <c r="M24" s="24" t="e">
        <f ca="1"/>
        <v>#N/A</v>
      </c>
      <c r="N24" s="24" t="e">
        <f ca="1"/>
        <v>#N/A</v>
      </c>
      <c r="O24" s="24" t="e">
        <f ca="1"/>
        <v>#N/A</v>
      </c>
      <c r="P24" s="24" t="e">
        <f ca="1"/>
        <v>#N/A</v>
      </c>
      <c r="Q24" s="24" t="e">
        <f ca="1"/>
        <v>#N/A</v>
      </c>
      <c r="R24" s="24" t="e">
        <f ca="1"/>
        <v>#N/A</v>
      </c>
      <c r="S24" s="24" t="e">
        <f ca="1"/>
        <v>#N/A</v>
      </c>
      <c r="T24" s="24" t="e">
        <f ca="1"/>
        <v>#N/A</v>
      </c>
      <c r="U24" s="24" t="e">
        <f ca="1"/>
        <v>#N/A</v>
      </c>
      <c r="V24" s="24" t="e">
        <f ca="1"/>
        <v>#N/A</v>
      </c>
    </row>
    <row r="25" spans="1:22" x14ac:dyDescent="0.25">
      <c r="A25" s="30"/>
      <c r="B25" s="27" t="s">
        <v>150</v>
      </c>
      <c r="C25" s="24">
        <f t="array" aca="1" ref="C25:V25" ca="1">OFFSET(INDIRECT(series_3_name_3),0,1,1,chart_points)</f>
        <v>0.94550598022105614</v>
      </c>
      <c r="D25" s="24">
        <f ca="1"/>
        <v>-1.4704883619546232</v>
      </c>
      <c r="E25" s="24">
        <f ca="1"/>
        <v>-4.2782420817696298</v>
      </c>
      <c r="F25" s="24">
        <f ca="1"/>
        <v>-7.5271487107642852</v>
      </c>
      <c r="G25" s="24">
        <f ca="1"/>
        <v>-10.04809104455811</v>
      </c>
      <c r="H25" s="24">
        <f ca="1"/>
        <v>-11.573780400000041</v>
      </c>
      <c r="I25" s="24" t="e">
        <f ca="1"/>
        <v>#N/A</v>
      </c>
      <c r="J25" s="24" t="e">
        <f ca="1"/>
        <v>#N/A</v>
      </c>
      <c r="K25" s="24" t="e">
        <f ca="1"/>
        <v>#N/A</v>
      </c>
      <c r="L25" s="24" t="e">
        <f ca="1"/>
        <v>#N/A</v>
      </c>
      <c r="M25" s="24" t="e">
        <f ca="1"/>
        <v>#N/A</v>
      </c>
      <c r="N25" s="24" t="e">
        <f ca="1"/>
        <v>#N/A</v>
      </c>
      <c r="O25" s="24" t="e">
        <f ca="1"/>
        <v>#N/A</v>
      </c>
      <c r="P25" s="24" t="e">
        <f ca="1"/>
        <v>#N/A</v>
      </c>
      <c r="Q25" s="24" t="e">
        <f ca="1"/>
        <v>#N/A</v>
      </c>
      <c r="R25" s="24" t="e">
        <f ca="1"/>
        <v>#N/A</v>
      </c>
      <c r="S25" s="24" t="e">
        <f ca="1"/>
        <v>#N/A</v>
      </c>
      <c r="T25" s="24" t="e">
        <f ca="1"/>
        <v>#N/A</v>
      </c>
      <c r="U25" s="24" t="e">
        <f ca="1"/>
        <v>#N/A</v>
      </c>
      <c r="V25" s="24" t="e">
        <f ca="1"/>
        <v>#N/A</v>
      </c>
    </row>
    <row r="26" spans="1:22" x14ac:dyDescent="0.25">
      <c r="A26" s="30"/>
    </row>
    <row r="27" spans="1:22" x14ac:dyDescent="0.25">
      <c r="A27" s="30"/>
      <c r="B27" s="24">
        <f ca="1">MAX(C23:C25)+0.005</f>
        <v>9.2835337206001878</v>
      </c>
      <c r="C27" s="24" t="s">
        <v>103</v>
      </c>
    </row>
    <row r="28" spans="1:22" x14ac:dyDescent="0.25">
      <c r="A28" s="30"/>
      <c r="B28" s="24">
        <f ca="1">MAX(C23:C25)-0.005</f>
        <v>9.2735337206001862</v>
      </c>
      <c r="C28" s="24" t="s">
        <v>104</v>
      </c>
    </row>
    <row r="29" spans="1:22" x14ac:dyDescent="0.25">
      <c r="B29" s="27" t="s">
        <v>151</v>
      </c>
      <c r="C29" s="24">
        <f ca="1">B28</f>
        <v>9.2735337206001862</v>
      </c>
      <c r="D29" s="24">
        <f t="shared" ref="D29:V29" ca="1" si="3">C29+($B27-$B28)/chart_points</f>
        <v>9.2752003872668531</v>
      </c>
      <c r="E29" s="24">
        <f t="shared" ca="1" si="3"/>
        <v>9.2768670539335201</v>
      </c>
      <c r="F29" s="24">
        <f t="shared" ca="1" si="3"/>
        <v>9.278533720600187</v>
      </c>
      <c r="G29" s="24">
        <f t="shared" ca="1" si="3"/>
        <v>9.2802003872668539</v>
      </c>
      <c r="H29" s="24">
        <f t="shared" ca="1" si="3"/>
        <v>9.2818670539335209</v>
      </c>
      <c r="I29" s="24">
        <f t="shared" ca="1" si="3"/>
        <v>9.2835337206001878</v>
      </c>
      <c r="J29" s="24">
        <f t="shared" ca="1" si="3"/>
        <v>9.2852003872668547</v>
      </c>
      <c r="K29" s="24">
        <f t="shared" ca="1" si="3"/>
        <v>9.2868670539335216</v>
      </c>
      <c r="L29" s="24">
        <f t="shared" ca="1" si="3"/>
        <v>9.2885337206001886</v>
      </c>
      <c r="M29" s="24">
        <f t="shared" ca="1" si="3"/>
        <v>9.2902003872668555</v>
      </c>
      <c r="N29" s="24">
        <f t="shared" ca="1" si="3"/>
        <v>9.2918670539335224</v>
      </c>
      <c r="O29" s="24">
        <f t="shared" ca="1" si="3"/>
        <v>9.2935337206001893</v>
      </c>
      <c r="P29" s="24">
        <f t="shared" ca="1" si="3"/>
        <v>9.2952003872668563</v>
      </c>
      <c r="Q29" s="24">
        <f t="shared" ca="1" si="3"/>
        <v>9.2968670539335232</v>
      </c>
      <c r="R29" s="24">
        <f t="shared" ca="1" si="3"/>
        <v>9.2985337206001901</v>
      </c>
      <c r="S29" s="24">
        <f t="shared" ca="1" si="3"/>
        <v>9.300200387266857</v>
      </c>
      <c r="T29" s="24">
        <f t="shared" ca="1" si="3"/>
        <v>9.301867053933524</v>
      </c>
      <c r="U29" s="24">
        <f t="shared" ca="1" si="3"/>
        <v>9.3035337206001909</v>
      </c>
      <c r="V29" s="24">
        <f t="shared" ca="1" si="3"/>
        <v>9.3052003872668578</v>
      </c>
    </row>
    <row r="32" spans="1:22" x14ac:dyDescent="0.25">
      <c r="A32" s="30"/>
      <c r="B32" s="11" t="s">
        <v>53</v>
      </c>
      <c r="C32" s="24" t="str">
        <f ca="1">INDIRECT(B32)</f>
        <v>Assets</v>
      </c>
      <c r="G32" s="4" t="s">
        <v>53</v>
      </c>
      <c r="H32" s="4" t="str">
        <f t="shared" ref="H32:H60" ca="1" si="4">INDIRECT(G32)</f>
        <v>Assets</v>
      </c>
    </row>
    <row r="33" spans="1:10" x14ac:dyDescent="0.25">
      <c r="A33" s="30"/>
      <c r="B33" s="32" t="s">
        <v>48</v>
      </c>
      <c r="C33" s="24" t="str">
        <f t="shared" ref="C33:C61" ca="1" si="5">INDIRECT(B33)</f>
        <v>Debt / equity ratio</v>
      </c>
      <c r="G33" s="2" t="s">
        <v>61</v>
      </c>
      <c r="H33" s="5" t="str">
        <f t="shared" ca="1" si="4"/>
        <v>Borrowing</v>
      </c>
    </row>
    <row r="34" spans="1:10" x14ac:dyDescent="0.25">
      <c r="A34" s="30"/>
      <c r="B34" s="11" t="s">
        <v>61</v>
      </c>
      <c r="C34" s="24" t="str">
        <f t="shared" ca="1" si="5"/>
        <v>Borrowing</v>
      </c>
      <c r="G34" s="2" t="s">
        <v>54</v>
      </c>
      <c r="H34" s="5" t="str">
        <f t="shared" ca="1" si="4"/>
        <v>Debt</v>
      </c>
    </row>
    <row r="35" spans="1:10" x14ac:dyDescent="0.25">
      <c r="A35" s="31"/>
      <c r="B35" s="33" t="s">
        <v>66</v>
      </c>
      <c r="C35" s="24" t="str">
        <f t="shared" ca="1" si="5"/>
        <v>Coverage ratio</v>
      </c>
      <c r="G35" s="2" t="s">
        <v>60</v>
      </c>
      <c r="H35" s="5" t="str">
        <f t="shared" ca="1" si="4"/>
        <v>Dividends</v>
      </c>
    </row>
    <row r="36" spans="1:10" x14ac:dyDescent="0.25">
      <c r="A36" s="30"/>
      <c r="B36" s="11" t="s">
        <v>54</v>
      </c>
      <c r="C36" s="24" t="str">
        <f t="shared" ca="1" si="5"/>
        <v>Debt</v>
      </c>
      <c r="G36" s="2" t="s">
        <v>56</v>
      </c>
      <c r="H36" s="5" t="str">
        <f t="shared" ca="1" si="4"/>
        <v>EBIT</v>
      </c>
    </row>
    <row r="37" spans="1:10" x14ac:dyDescent="0.25">
      <c r="A37" s="31"/>
      <c r="B37" s="11" t="s">
        <v>60</v>
      </c>
      <c r="C37" s="24" t="str">
        <f t="shared" ca="1" si="5"/>
        <v>Dividends</v>
      </c>
      <c r="G37" s="2" t="s">
        <v>70</v>
      </c>
      <c r="H37" s="5" t="str">
        <f t="shared" ca="1" si="4"/>
        <v>EBITDA</v>
      </c>
    </row>
    <row r="38" spans="1:10" x14ac:dyDescent="0.25">
      <c r="A38" s="30"/>
      <c r="B38" s="11" t="s">
        <v>56</v>
      </c>
      <c r="C38" s="24" t="str">
        <f t="shared" ca="1" si="5"/>
        <v>EBIT</v>
      </c>
      <c r="G38" s="2" t="s">
        <v>55</v>
      </c>
      <c r="H38" s="5" t="str">
        <f t="shared" ca="1" si="4"/>
        <v>Equity</v>
      </c>
    </row>
    <row r="39" spans="1:10" x14ac:dyDescent="0.25">
      <c r="A39" s="30"/>
      <c r="B39" s="11" t="s">
        <v>71</v>
      </c>
      <c r="C39" s="24" t="str">
        <f t="shared" ca="1" si="5"/>
        <v>Enterprise value / EBITDA</v>
      </c>
      <c r="G39" s="2" t="s">
        <v>243</v>
      </c>
      <c r="H39" s="5" t="str">
        <f t="shared" ca="1" si="4"/>
        <v>Economic value added (EVA)</v>
      </c>
    </row>
    <row r="40" spans="1:10" x14ac:dyDescent="0.25">
      <c r="A40" s="30"/>
      <c r="B40" s="11" t="s">
        <v>55</v>
      </c>
      <c r="C40" s="24" t="str">
        <f t="shared" ca="1" si="5"/>
        <v>Equity</v>
      </c>
      <c r="G40" s="2" t="s">
        <v>244</v>
      </c>
      <c r="H40" s="5" t="str">
        <f t="shared" ca="1" si="4"/>
        <v>EVA due to assets in place</v>
      </c>
    </row>
    <row r="41" spans="1:10" x14ac:dyDescent="0.25">
      <c r="A41" s="30"/>
      <c r="B41" s="34" t="s">
        <v>72</v>
      </c>
      <c r="C41" s="24" t="str">
        <f t="shared" ca="1" si="5"/>
        <v>Cost of capital [WACC]</v>
      </c>
      <c r="G41" s="2" t="s">
        <v>245</v>
      </c>
      <c r="H41" s="5" t="str">
        <f t="shared" ca="1" si="4"/>
        <v>EVA due to growth assets</v>
      </c>
    </row>
    <row r="42" spans="1:10" x14ac:dyDescent="0.25">
      <c r="A42" s="31"/>
      <c r="B42" s="11" t="s">
        <v>64</v>
      </c>
      <c r="C42" s="24" t="str">
        <f t="shared" ca="1" si="5"/>
        <v>Free cash flow to debt</v>
      </c>
      <c r="G42" s="2" t="s">
        <v>64</v>
      </c>
      <c r="H42" s="5" t="str">
        <f t="shared" ca="1" si="4"/>
        <v>Free cash flow to debt</v>
      </c>
    </row>
    <row r="43" spans="1:10" x14ac:dyDescent="0.25">
      <c r="A43" s="31"/>
      <c r="B43" s="11" t="s">
        <v>63</v>
      </c>
      <c r="C43" s="24" t="str">
        <f t="shared" ca="1" si="5"/>
        <v>Free cash flow to equity</v>
      </c>
      <c r="G43" s="2" t="s">
        <v>63</v>
      </c>
      <c r="H43" s="5" t="str">
        <f t="shared" ca="1" si="4"/>
        <v>Free cash flow to equity</v>
      </c>
    </row>
    <row r="44" spans="1:10" x14ac:dyDescent="0.25">
      <c r="A44" s="30"/>
      <c r="B44" s="11" t="s">
        <v>65</v>
      </c>
      <c r="C44" s="24" t="str">
        <f t="shared" ca="1" si="5"/>
        <v>Free cash flow to the firm</v>
      </c>
      <c r="G44" s="2" t="s">
        <v>65</v>
      </c>
      <c r="H44" s="5" t="str">
        <f t="shared" ca="1" si="4"/>
        <v>Free cash flow to the firm</v>
      </c>
    </row>
    <row r="45" spans="1:10" x14ac:dyDescent="0.25">
      <c r="A45" s="30"/>
      <c r="B45" s="10" t="s">
        <v>51</v>
      </c>
      <c r="C45" s="24" t="str">
        <f t="shared" ca="1" si="5"/>
        <v>Growth rate</v>
      </c>
      <c r="G45" s="2" t="s">
        <v>67</v>
      </c>
      <c r="H45" s="5" t="str">
        <f t="shared" ca="1" si="4"/>
        <v>Market value of equity</v>
      </c>
    </row>
    <row r="46" spans="1:10" ht="13" x14ac:dyDescent="0.3">
      <c r="A46" s="31"/>
      <c r="B46" s="35" t="s">
        <v>74</v>
      </c>
      <c r="C46" s="24" t="str">
        <f t="shared" ca="1" si="5"/>
        <v>Cost of debt (post-tax)</v>
      </c>
      <c r="G46" s="2" t="s">
        <v>69</v>
      </c>
      <c r="H46" s="5" t="str">
        <f t="shared" ca="1" si="4"/>
        <v>Market value of firm</v>
      </c>
    </row>
    <row r="47" spans="1:10" x14ac:dyDescent="0.25">
      <c r="A47" s="30"/>
      <c r="B47" s="10" t="s">
        <v>52</v>
      </c>
      <c r="C47" s="24" t="str">
        <f t="shared" ca="1" si="5"/>
        <v>Cost of equity</v>
      </c>
      <c r="G47" s="2" t="s">
        <v>59</v>
      </c>
      <c r="H47" s="5" t="str">
        <f t="shared" ca="1" si="4"/>
        <v>Net profit</v>
      </c>
    </row>
    <row r="48" spans="1:10" x14ac:dyDescent="0.25">
      <c r="A48" s="31"/>
      <c r="B48" s="32" t="s">
        <v>58</v>
      </c>
      <c r="C48" s="24" t="str">
        <f t="shared" ca="1" si="5"/>
        <v>Tax rate</v>
      </c>
      <c r="F48" s="10"/>
      <c r="G48" s="22" t="s">
        <v>134</v>
      </c>
      <c r="H48" s="23" t="str">
        <f t="shared" ca="1" si="4"/>
        <v>Growth CAPEX</v>
      </c>
      <c r="I48" s="10"/>
      <c r="J48" s="10"/>
    </row>
    <row r="49" spans="1:11" x14ac:dyDescent="0.25">
      <c r="A49" s="31"/>
      <c r="B49" s="34" t="s">
        <v>98</v>
      </c>
      <c r="C49" s="24" t="str">
        <f t="shared" ca="1" si="5"/>
        <v>Equity [market / book] ratio</v>
      </c>
      <c r="F49" s="10"/>
      <c r="G49" s="22" t="s">
        <v>57</v>
      </c>
      <c r="H49" s="23" t="str">
        <f t="shared" ca="1" si="4"/>
        <v>(Interest)</v>
      </c>
      <c r="I49" s="10"/>
      <c r="J49" s="10"/>
    </row>
    <row r="50" spans="1:11" x14ac:dyDescent="0.25">
      <c r="A50" s="30"/>
      <c r="B50" s="34" t="s">
        <v>99</v>
      </c>
      <c r="C50" s="24" t="str">
        <f t="shared" ca="1" si="5"/>
        <v>Firm [market / book] ratio</v>
      </c>
      <c r="F50" s="11"/>
      <c r="G50" s="22" t="s">
        <v>135</v>
      </c>
      <c r="H50" s="23" t="str">
        <f t="shared" ca="1" si="4"/>
        <v>Replacement CAPEX</v>
      </c>
      <c r="I50" s="11"/>
      <c r="J50" s="11"/>
      <c r="K50" s="36"/>
    </row>
    <row r="51" spans="1:11" x14ac:dyDescent="0.25">
      <c r="A51" s="30"/>
      <c r="B51" s="34" t="s">
        <v>67</v>
      </c>
      <c r="C51" s="24" t="str">
        <f t="shared" ca="1" si="5"/>
        <v>Market value of equity</v>
      </c>
      <c r="F51" s="11"/>
      <c r="G51" s="22" t="s">
        <v>49</v>
      </c>
      <c r="H51" s="23" t="str">
        <f t="shared" ca="1" si="4"/>
        <v>(Tax)</v>
      </c>
      <c r="I51" s="11"/>
      <c r="J51" s="11"/>
      <c r="K51" s="36"/>
    </row>
    <row r="52" spans="1:11" x14ac:dyDescent="0.25">
      <c r="A52" s="30"/>
      <c r="B52" s="34" t="s">
        <v>69</v>
      </c>
      <c r="C52" s="24" t="str">
        <f t="shared" ca="1" si="5"/>
        <v>Market value of firm</v>
      </c>
      <c r="F52" s="11"/>
      <c r="G52" s="22" t="s">
        <v>62</v>
      </c>
      <c r="H52" s="23" t="str">
        <f t="shared" ca="1" si="4"/>
        <v>Cash flow from investing</v>
      </c>
      <c r="I52" s="11"/>
      <c r="J52" s="11"/>
      <c r="K52" s="36"/>
    </row>
    <row r="53" spans="1:11" x14ac:dyDescent="0.25">
      <c r="A53" s="30"/>
      <c r="B53" s="34" t="s">
        <v>59</v>
      </c>
      <c r="C53" s="24" t="str">
        <f t="shared" ca="1" si="5"/>
        <v>Net profit</v>
      </c>
      <c r="F53" s="11"/>
      <c r="G53" s="22" t="s">
        <v>287</v>
      </c>
      <c r="H53" s="23" t="str">
        <f t="shared" ca="1" si="4"/>
        <v>User defined calc #1</v>
      </c>
      <c r="I53" s="11"/>
      <c r="J53" s="11"/>
      <c r="K53" s="36"/>
    </row>
    <row r="54" spans="1:11" x14ac:dyDescent="0.25">
      <c r="A54" s="30"/>
      <c r="B54" s="34" t="s">
        <v>68</v>
      </c>
      <c r="C54" s="24" t="str">
        <f t="shared" ca="1" si="5"/>
        <v>P/E ratio</v>
      </c>
      <c r="F54" s="11"/>
      <c r="G54" s="22" t="s">
        <v>288</v>
      </c>
      <c r="H54" s="23" t="str">
        <f t="shared" ca="1" si="4"/>
        <v>User defined calc #2</v>
      </c>
      <c r="I54" s="11"/>
      <c r="J54" s="11"/>
      <c r="K54" s="36"/>
    </row>
    <row r="55" spans="1:11" x14ac:dyDescent="0.25">
      <c r="A55" s="30"/>
      <c r="B55" s="32" t="s">
        <v>47</v>
      </c>
      <c r="C55" s="24" t="str">
        <f t="shared" ca="1" si="5"/>
        <v>Return on capital</v>
      </c>
      <c r="F55" s="11"/>
      <c r="G55" s="22" t="s">
        <v>289</v>
      </c>
      <c r="H55" s="23" t="str">
        <f t="shared" ca="1" si="4"/>
        <v>User defined calc #3</v>
      </c>
      <c r="I55" s="11"/>
      <c r="J55" s="11"/>
      <c r="K55" s="36"/>
    </row>
    <row r="56" spans="1:11" x14ac:dyDescent="0.25">
      <c r="A56" s="30"/>
      <c r="B56" s="34" t="s">
        <v>73</v>
      </c>
      <c r="C56" s="24" t="str">
        <f t="shared" ca="1" si="5"/>
        <v>Return on equity</v>
      </c>
      <c r="F56" s="11"/>
      <c r="G56" s="22" t="s">
        <v>290</v>
      </c>
      <c r="H56" s="23" t="str">
        <f t="shared" ca="1" si="4"/>
        <v>User defined calc #4</v>
      </c>
      <c r="I56" s="11"/>
      <c r="J56" s="11"/>
      <c r="K56" s="36"/>
    </row>
    <row r="57" spans="1:11" x14ac:dyDescent="0.25">
      <c r="A57" s="30"/>
      <c r="B57" s="32" t="s">
        <v>50</v>
      </c>
      <c r="C57" s="24" t="str">
        <f t="shared" ca="1" si="5"/>
        <v>Risk free rate</v>
      </c>
      <c r="F57" s="11"/>
      <c r="G57" s="22" t="s">
        <v>291</v>
      </c>
      <c r="H57" s="23" t="str">
        <f t="shared" ca="1" si="4"/>
        <v>User defined calc #5</v>
      </c>
      <c r="I57" s="11"/>
      <c r="J57" s="11"/>
      <c r="K57" s="36"/>
    </row>
    <row r="58" spans="1:11" x14ac:dyDescent="0.25">
      <c r="A58" s="30"/>
      <c r="B58" s="32" t="s">
        <v>116</v>
      </c>
      <c r="C58" s="24" t="str">
        <f t="shared" ca="1" si="5"/>
        <v>Unleveraged cost of equity</v>
      </c>
      <c r="F58" s="11"/>
      <c r="G58" s="22" t="s">
        <v>292</v>
      </c>
      <c r="H58" s="23" t="str">
        <f t="shared" ca="1" si="4"/>
        <v>User defined calc #6</v>
      </c>
      <c r="I58" s="11"/>
      <c r="J58" s="11"/>
      <c r="K58" s="36"/>
    </row>
    <row r="59" spans="1:11" x14ac:dyDescent="0.25">
      <c r="A59" s="30"/>
      <c r="B59" s="11" t="s">
        <v>62</v>
      </c>
      <c r="C59" s="24" t="str">
        <f t="shared" ca="1" si="5"/>
        <v>Cash flow from investing</v>
      </c>
      <c r="F59" s="11"/>
      <c r="G59" s="22" t="s">
        <v>293</v>
      </c>
      <c r="H59" s="23" t="str">
        <f t="shared" ca="1" si="4"/>
        <v>User defined calc #7</v>
      </c>
      <c r="I59" s="11"/>
      <c r="J59" s="11"/>
      <c r="K59" s="36"/>
    </row>
    <row r="60" spans="1:11" x14ac:dyDescent="0.25">
      <c r="A60" s="30"/>
      <c r="B60" s="11" t="s">
        <v>57</v>
      </c>
      <c r="C60" s="24" t="str">
        <f t="shared" ca="1" si="5"/>
        <v>(Interest)</v>
      </c>
      <c r="F60" s="11"/>
      <c r="G60" s="22" t="s">
        <v>294</v>
      </c>
      <c r="H60" s="23" t="str">
        <f t="shared" ca="1" si="4"/>
        <v>User defined calc #8</v>
      </c>
      <c r="I60" s="11"/>
      <c r="J60" s="11"/>
      <c r="K60" s="36"/>
    </row>
    <row r="61" spans="1:11" x14ac:dyDescent="0.25">
      <c r="A61" s="30"/>
      <c r="B61" s="34" t="s">
        <v>49</v>
      </c>
      <c r="C61" s="24" t="str">
        <f t="shared" ca="1" si="5"/>
        <v>(Tax)</v>
      </c>
      <c r="F61" s="11"/>
      <c r="G61" s="11"/>
      <c r="H61" s="23"/>
      <c r="I61" s="11"/>
      <c r="J61" s="11"/>
      <c r="K61" s="36"/>
    </row>
    <row r="62" spans="1:11" x14ac:dyDescent="0.25">
      <c r="A62" s="30"/>
      <c r="B62" s="34"/>
      <c r="F62" s="36"/>
      <c r="G62" s="36"/>
      <c r="H62" s="36"/>
      <c r="I62" s="36"/>
      <c r="J62" s="36"/>
      <c r="K62" s="36"/>
    </row>
    <row r="63" spans="1:11" x14ac:dyDescent="0.25">
      <c r="A63" s="567" t="s">
        <v>260</v>
      </c>
      <c r="B63" s="437"/>
    </row>
    <row r="64" spans="1:11" x14ac:dyDescent="0.25">
      <c r="A64" s="30"/>
      <c r="B64" s="34"/>
    </row>
    <row r="65" spans="1:24" x14ac:dyDescent="0.25">
      <c r="A65" s="30"/>
      <c r="B65" s="34"/>
    </row>
    <row r="66" spans="1:24" x14ac:dyDescent="0.25">
      <c r="A66" s="30"/>
      <c r="B66" s="34"/>
    </row>
    <row r="67" spans="1:24" x14ac:dyDescent="0.25">
      <c r="A67" s="30"/>
      <c r="B67" s="34"/>
      <c r="D67" s="24" t="str">
        <f>Main!D316</f>
        <v>P/E ratio</v>
      </c>
      <c r="E67" s="24" t="str">
        <f>Main!E316</f>
        <v>Enterprise value / EBITDA</v>
      </c>
      <c r="F67" s="24" t="str">
        <f>Main!F316</f>
        <v>Return on equity</v>
      </c>
      <c r="G67" s="24" t="str">
        <f>Main!G316</f>
        <v>Cost of capital [WACC]</v>
      </c>
      <c r="H67" s="24" t="str">
        <f>Main!H316</f>
        <v>Firm [market / book] ratio</v>
      </c>
      <c r="I67" s="24" t="str">
        <f>Main!I316</f>
        <v>Return on capital</v>
      </c>
      <c r="J67" s="24" t="str">
        <f>Main!J316</f>
        <v>Market value of equity</v>
      </c>
      <c r="K67" s="24" t="str">
        <f>Main!K316</f>
        <v>Market value of firm</v>
      </c>
      <c r="L67" s="24" t="str">
        <f>Main!L316</f>
        <v>Free cash flow to equity</v>
      </c>
      <c r="M67" s="24" t="str">
        <f>Main!M316</f>
        <v>Free cash flow to the firm</v>
      </c>
      <c r="N67" s="24" t="str">
        <f>Main!N316</f>
        <v>Equity [market / book] ratio</v>
      </c>
      <c r="O67" s="24" t="str">
        <f>Main!O316</f>
        <v>Cost of equity</v>
      </c>
      <c r="P67" s="24" t="str">
        <f>Main!P316</f>
        <v>Cost of debt</v>
      </c>
      <c r="Q67" s="24" t="str">
        <f>Main!Q316</f>
        <v>MVD</v>
      </c>
      <c r="R67" s="24" t="str">
        <f ca="1">Main!R316</f>
        <v>row_eva_aip</v>
      </c>
      <c r="S67" s="24" t="str">
        <f>Main!S316</f>
        <v>Error</v>
      </c>
      <c r="T67" s="24" t="str">
        <f ca="1">Main!T316</f>
        <v>row_eva_ga</v>
      </c>
      <c r="U67" s="24" t="str">
        <f ca="1">Main!U316</f>
        <v>row_eva</v>
      </c>
    </row>
    <row r="68" spans="1:24" x14ac:dyDescent="0.25">
      <c r="A68" s="30"/>
      <c r="B68" s="37" t="str">
        <f>Main!B317</f>
        <v>[G172]</v>
      </c>
    </row>
    <row r="69" spans="1:24" x14ac:dyDescent="0.25">
      <c r="A69" s="30"/>
      <c r="B69" s="38">
        <f ca="1">Main!B318</f>
        <v>1.0379157174611464E-5</v>
      </c>
      <c r="D69" s="24">
        <f>Main!D318</f>
        <v>8.0899490027134355</v>
      </c>
      <c r="E69" s="24">
        <f>Main!E318</f>
        <v>5.071353252457615</v>
      </c>
      <c r="F69" s="24">
        <f>Main!F318</f>
        <v>0.12000095488246017</v>
      </c>
      <c r="G69" s="24">
        <f>Main!G318</f>
        <v>0.10999964718998927</v>
      </c>
      <c r="H69" s="24">
        <f>Main!H318</f>
        <v>0.97080190832760049</v>
      </c>
      <c r="I69" s="24">
        <f>Main!I318</f>
        <v>0.12000000000000009</v>
      </c>
      <c r="J69" s="24">
        <f>Main!J318</f>
        <v>116.49498351337819</v>
      </c>
      <c r="K69" s="24">
        <f>Main!K318</f>
        <v>116.49622899931205</v>
      </c>
      <c r="L69" s="24">
        <f>Main!L318</f>
        <v>8.4000274006905435</v>
      </c>
      <c r="M69" s="24">
        <f>Main!M318</f>
        <v>8.3999999999999986</v>
      </c>
      <c r="N69" s="24">
        <f>Main!N318</f>
        <v>0.97080160527601789</v>
      </c>
      <c r="O69" s="24">
        <f>Main!O318</f>
        <v>0.11000052387501102</v>
      </c>
      <c r="P69" s="24">
        <f>Main!P318</f>
        <v>2.8000000000000101E-2</v>
      </c>
      <c r="Q69" s="24">
        <f>Main!Q318</f>
        <v>1.2454859338676106E-3</v>
      </c>
      <c r="R69" s="24">
        <f>Main!R318</f>
        <v>-1.3075025257660611</v>
      </c>
      <c r="S69" s="24" t="str">
        <f>Main!S318</f>
        <v/>
      </c>
      <c r="T69" s="24">
        <f>Main!T318</f>
        <v>-2.1962684749218999</v>
      </c>
      <c r="U69" s="24">
        <f>Main!U318</f>
        <v>-3.5037710006879612</v>
      </c>
      <c r="V69" s="24">
        <f>Main!V318</f>
        <v>0</v>
      </c>
      <c r="W69" s="24" t="str">
        <f ca="1">Main!W318</f>
        <v/>
      </c>
      <c r="X69" s="24">
        <f>Main!X318</f>
        <v>5.4869540975473186</v>
      </c>
    </row>
    <row r="70" spans="1:24" x14ac:dyDescent="0.25">
      <c r="A70" s="30"/>
      <c r="B70" s="38">
        <f ca="1">Main!B319</f>
        <v>0.10001037915753841</v>
      </c>
      <c r="D70" s="24">
        <f>Main!D319</f>
        <v>7.5749248982418695</v>
      </c>
      <c r="E70" s="24">
        <f>Main!E319</f>
        <v>5.1226690079855608</v>
      </c>
      <c r="F70" s="24">
        <f>Main!F319</f>
        <v>0.12920095488349359</v>
      </c>
      <c r="G70" s="24">
        <f>Main!G319</f>
        <v>0.10694043857594117</v>
      </c>
      <c r="H70" s="24">
        <f>Main!H319</f>
        <v>0.98062521010090165</v>
      </c>
      <c r="I70" s="24">
        <f>Main!I319</f>
        <v>0.1200000000010001</v>
      </c>
      <c r="J70" s="24">
        <f>Main!J319</f>
        <v>106.7649049746729</v>
      </c>
      <c r="K70" s="24">
        <f>Main!K319</f>
        <v>117.67502521198918</v>
      </c>
      <c r="L70" s="24">
        <f>Main!L319</f>
        <v>8.6400226452219506</v>
      </c>
      <c r="M70" s="24">
        <f>Main!M319</f>
        <v>8.4000000000009951</v>
      </c>
      <c r="N70" s="24">
        <f>Main!N319</f>
        <v>0.97868753001689512</v>
      </c>
      <c r="O70" s="24">
        <f>Main!O319</f>
        <v>0.11500722491030264</v>
      </c>
      <c r="P70" s="24">
        <f>Main!P319</f>
        <v>2.8000000001000402E-2</v>
      </c>
      <c r="Q70" s="24">
        <f>Main!Q319</f>
        <v>10.910120237317276</v>
      </c>
      <c r="R70" s="24">
        <f>Main!R319</f>
        <v>-0.18802840609371346</v>
      </c>
      <c r="S70" s="24" t="str">
        <f>Main!S319</f>
        <v/>
      </c>
      <c r="T70" s="24">
        <f>Main!T319</f>
        <v>-2.1369463819161352</v>
      </c>
      <c r="U70" s="24">
        <f>Main!U319</f>
        <v>-2.3249747880108487</v>
      </c>
      <c r="V70" s="24">
        <f>Main!V319</f>
        <v>0</v>
      </c>
      <c r="W70" s="24" t="str">
        <f ca="1">Main!W319</f>
        <v/>
      </c>
      <c r="X70" s="24">
        <f>Main!X319</f>
        <v>5.4874108869327287</v>
      </c>
    </row>
    <row r="71" spans="1:24" x14ac:dyDescent="0.25">
      <c r="A71" s="30"/>
      <c r="B71" s="38">
        <f ca="1">Main!B320</f>
        <v>0.20001037915790221</v>
      </c>
      <c r="D71" s="24">
        <f>Main!D320</f>
        <v>7.1296683740831615</v>
      </c>
      <c r="E71" s="24">
        <f>Main!E320</f>
        <v>5.1662134039912715</v>
      </c>
      <c r="F71" s="24">
        <f>Main!F320</f>
        <v>0.13840095437949843</v>
      </c>
      <c r="G71" s="24">
        <f>Main!G320</f>
        <v>0.10443836645034804</v>
      </c>
      <c r="H71" s="24">
        <f>Main!H320</f>
        <v>0.98896085162280323</v>
      </c>
      <c r="I71" s="24">
        <f>Main!I320</f>
        <v>0.1200000000020001</v>
      </c>
      <c r="J71" s="24">
        <f>Main!J320</f>
        <v>98.674437272154165</v>
      </c>
      <c r="K71" s="24">
        <f>Main!K320</f>
        <v>118.67530219449839</v>
      </c>
      <c r="L71" s="24">
        <f>Main!L320</f>
        <v>8.8400189777911375</v>
      </c>
      <c r="M71" s="24">
        <f>Main!M320</f>
        <v>8.400000000001997</v>
      </c>
      <c r="N71" s="24">
        <f>Main!N320</f>
        <v>0.98675290736989962</v>
      </c>
      <c r="O71" s="24">
        <f>Main!O320</f>
        <v>0.11993207924953005</v>
      </c>
      <c r="P71" s="24">
        <f>Main!P320</f>
        <v>2.8000002527012392E-2</v>
      </c>
      <c r="Q71" s="24">
        <f>Main!Q320</f>
        <v>20.000864922346217</v>
      </c>
      <c r="R71" s="24">
        <f>Main!R320</f>
        <v>0.75972956290722815</v>
      </c>
      <c r="S71" s="24" t="str">
        <f>Main!S320</f>
        <v/>
      </c>
      <c r="T71" s="24">
        <f>Main!T320</f>
        <v>-2.0844273684068706</v>
      </c>
      <c r="U71" s="24">
        <f>Main!U320</f>
        <v>-1.3246978055016425</v>
      </c>
      <c r="V71" s="24">
        <f>Main!V320</f>
        <v>0</v>
      </c>
      <c r="W71" s="24" t="str">
        <f>Main!W320</f>
        <v>Ghost</v>
      </c>
      <c r="X71" s="24">
        <f>Main!X320</f>
        <v>5.4878676763181389</v>
      </c>
    </row>
    <row r="72" spans="1:24" x14ac:dyDescent="0.25">
      <c r="A72" s="30"/>
      <c r="B72" s="38">
        <f ca="1">Main!B321</f>
        <v>0.30001037915826601</v>
      </c>
      <c r="D72" s="24">
        <f>Main!D321</f>
        <v>6.7409882629807276</v>
      </c>
      <c r="E72" s="24">
        <f>Main!E321</f>
        <v>5.2036895099520866</v>
      </c>
      <c r="F72" s="24">
        <f>Main!F321</f>
        <v>0.14760080048341614</v>
      </c>
      <c r="G72" s="24">
        <f>Main!G321</f>
        <v>0.10235486311113892</v>
      </c>
      <c r="H72" s="24">
        <f>Main!H321</f>
        <v>0.99613484905039651</v>
      </c>
      <c r="I72" s="24">
        <f>Main!I321</f>
        <v>0.1200000000030001</v>
      </c>
      <c r="J72" s="24">
        <f>Main!J321</f>
        <v>91.843137217614839</v>
      </c>
      <c r="K72" s="24">
        <f>Main!K321</f>
        <v>119.53618188569057</v>
      </c>
      <c r="L72" s="24">
        <f>Main!L321</f>
        <v>9.0092327303088169</v>
      </c>
      <c r="M72" s="24">
        <f>Main!M321</f>
        <v>8.4000000000029988</v>
      </c>
      <c r="N72" s="24">
        <f>Main!N321</f>
        <v>0.99497526364760203</v>
      </c>
      <c r="O72" s="24">
        <f>Main!O321</f>
        <v>0.12477459261223051</v>
      </c>
      <c r="P72" s="24">
        <f>Main!P321</f>
        <v>2.8000514659009209E-2</v>
      </c>
      <c r="Q72" s="24">
        <f>Main!Q321</f>
        <v>27.693044668078723</v>
      </c>
      <c r="R72" s="24">
        <f>Main!R321</f>
        <v>1.5736982571360203</v>
      </c>
      <c r="S72" s="24" t="str">
        <f>Main!S321</f>
        <v/>
      </c>
      <c r="T72" s="24">
        <f>Main!T321</f>
        <v>-2.0375163714424751</v>
      </c>
      <c r="U72" s="24">
        <f>Main!U321</f>
        <v>-0.46381811430945519</v>
      </c>
      <c r="V72" s="24">
        <f>Main!V321</f>
        <v>0</v>
      </c>
      <c r="W72" s="24">
        <f>Main!W321</f>
        <v>5.4869540975473186</v>
      </c>
      <c r="X72" s="24">
        <f>Main!X321</f>
        <v>5.488324465703549</v>
      </c>
    </row>
    <row r="73" spans="1:24" x14ac:dyDescent="0.25">
      <c r="A73" s="30"/>
      <c r="B73" s="38">
        <f ca="1">Main!B322</f>
        <v>0.4000103791586298</v>
      </c>
      <c r="D73" s="24">
        <f>Main!D322</f>
        <v>6.3989080542172685</v>
      </c>
      <c r="E73" s="24">
        <f>Main!E322</f>
        <v>5.2363284024788044</v>
      </c>
      <c r="F73" s="24">
        <f>Main!F322</f>
        <v>0.15679800805394473</v>
      </c>
      <c r="G73" s="24">
        <f>Main!G322</f>
        <v>0.10059366785104967</v>
      </c>
      <c r="H73" s="24">
        <f>Main!H322</f>
        <v>1.0023828656206053</v>
      </c>
      <c r="I73" s="24">
        <f>Main!I322</f>
        <v>0.1200000000040001</v>
      </c>
      <c r="J73" s="24">
        <f>Main!J322</f>
        <v>85.999594134301759</v>
      </c>
      <c r="K73" s="24">
        <f>Main!K322</f>
        <v>120.28594387399662</v>
      </c>
      <c r="L73" s="24">
        <f>Main!L322</f>
        <v>9.1540471104942167</v>
      </c>
      <c r="M73" s="24">
        <f>Main!M322</f>
        <v>8.4000000000039972</v>
      </c>
      <c r="N73" s="24">
        <f>Main!N322</f>
        <v>1.0033360365993875</v>
      </c>
      <c r="O73" s="24">
        <f>Main!O322</f>
        <v>0.12953240094578611</v>
      </c>
      <c r="P73" s="24">
        <f>Main!P322</f>
        <v>2.800736689446804E-2</v>
      </c>
      <c r="Q73" s="24">
        <f>Main!Q322</f>
        <v>34.286349739698856</v>
      </c>
      <c r="R73" s="24">
        <f>Main!R322</f>
        <v>2.2812377424832428</v>
      </c>
      <c r="S73" s="24" t="str">
        <f>Main!S322</f>
        <v/>
      </c>
      <c r="T73" s="24">
        <f>Main!T322</f>
        <v>-1.9952938684826576</v>
      </c>
      <c r="U73" s="24">
        <f>Main!U322</f>
        <v>0.28594387399658538</v>
      </c>
      <c r="V73" s="24">
        <f>Main!V322</f>
        <v>0</v>
      </c>
      <c r="W73" s="24">
        <f>Main!W322</f>
        <v>5.4924355701722414</v>
      </c>
      <c r="X73" s="24">
        <f>Main!X322</f>
        <v>5.4887812550889592</v>
      </c>
    </row>
    <row r="74" spans="1:24" x14ac:dyDescent="0.25">
      <c r="A74" s="30"/>
      <c r="B74" s="38">
        <f ca="1">Main!B323</f>
        <v>0.5000103791589936</v>
      </c>
      <c r="D74" s="24">
        <f>Main!D323</f>
        <v>6.0959375718208548</v>
      </c>
      <c r="E74" s="24">
        <f>Main!E323</f>
        <v>5.2650434855040888</v>
      </c>
      <c r="F74" s="24">
        <f>Main!F323</f>
        <v>0.16598262355923105</v>
      </c>
      <c r="G74" s="24">
        <f>Main!G323</f>
        <v>9.9085848595031001E-2</v>
      </c>
      <c r="H74" s="24">
        <f>Main!H323</f>
        <v>1.0078797529433967</v>
      </c>
      <c r="I74" s="24">
        <f>Main!I323</f>
        <v>0.12000000000500009</v>
      </c>
      <c r="J74" s="24">
        <f>Main!J323</f>
        <v>80.945016801296532</v>
      </c>
      <c r="K74" s="24">
        <f>Main!K323</f>
        <v>120.94557035261261</v>
      </c>
      <c r="L74" s="24">
        <f>Main!L323</f>
        <v>9.2785456820095646</v>
      </c>
      <c r="M74" s="24">
        <f>Main!M323</f>
        <v>8.400000000004999</v>
      </c>
      <c r="N74" s="24">
        <f>Main!N323</f>
        <v>1.0118197111978033</v>
      </c>
      <c r="O74" s="24">
        <f>Main!O323</f>
        <v>0.13419618533285158</v>
      </c>
      <c r="P74" s="24">
        <f>Main!P323</f>
        <v>2.8036661900753795E-2</v>
      </c>
      <c r="Q74" s="24">
        <f>Main!Q323</f>
        <v>40.000553551321069</v>
      </c>
      <c r="R74" s="24">
        <f>Main!R323</f>
        <v>2.9026096124379586</v>
      </c>
      <c r="S74" s="24" t="str">
        <f>Main!S323</f>
        <v/>
      </c>
      <c r="T74" s="24">
        <f>Main!T323</f>
        <v>-1.9570392598203994</v>
      </c>
      <c r="U74" s="24">
        <f>Main!U323</f>
        <v>0.94557035261255939</v>
      </c>
      <c r="V74" s="24">
        <f>Main!V323</f>
        <v>0</v>
      </c>
      <c r="W74" s="24">
        <f>Main!W323</f>
        <v>-4.5678938541023523E-4</v>
      </c>
      <c r="X74" s="24">
        <f>Main!X323</f>
        <v>5.4892380444743694</v>
      </c>
    </row>
    <row r="75" spans="1:24" x14ac:dyDescent="0.25">
      <c r="B75" s="38">
        <f ca="1">Main!B324</f>
        <v>0.6000103791593574</v>
      </c>
      <c r="D75" s="24">
        <f>Main!D324</f>
        <v>5.8264066261352712</v>
      </c>
      <c r="E75" s="24">
        <f>Main!E324</f>
        <v>5.2905276840531004</v>
      </c>
      <c r="F75" s="24">
        <f>Main!F324</f>
        <v>0.17513593687993512</v>
      </c>
      <c r="G75" s="24">
        <f>Main!G324</f>
        <v>9.7780761176277944E-2</v>
      </c>
      <c r="H75" s="24">
        <f>Main!H324</f>
        <v>1.0127581566664448</v>
      </c>
      <c r="I75" s="24">
        <f>Main!I324</f>
        <v>0.1200000000060001</v>
      </c>
      <c r="J75" s="24">
        <f>Main!J324</f>
        <v>76.530492279320526</v>
      </c>
      <c r="K75" s="24">
        <f>Main!K324</f>
        <v>121.53097879925936</v>
      </c>
      <c r="L75" s="24">
        <f>Main!L324</f>
        <v>9.385134384422777</v>
      </c>
      <c r="M75" s="24">
        <f>Main!M324</f>
        <v>8.4000000000059991</v>
      </c>
      <c r="N75" s="24">
        <f>Main!N324</f>
        <v>1.0204131830816527</v>
      </c>
      <c r="O75" s="24">
        <f>Main!O324</f>
        <v>0.13874863933821832</v>
      </c>
      <c r="P75" s="24">
        <f>Main!P324</f>
        <v>2.8108361479374875E-2</v>
      </c>
      <c r="Q75" s="24">
        <f>Main!Q324</f>
        <v>45.000486519944829</v>
      </c>
      <c r="R75" s="24">
        <f>Main!R324</f>
        <v>3.4531574689824054</v>
      </c>
      <c r="S75" s="24" t="str">
        <f>Main!S324</f>
        <v/>
      </c>
      <c r="T75" s="24">
        <f>Main!T324</f>
        <v>-1.9221786697170233</v>
      </c>
      <c r="U75" s="24">
        <f>Main!U324</f>
        <v>1.530978799259382</v>
      </c>
      <c r="V75" s="24">
        <f>Main!V324</f>
        <v>0</v>
      </c>
      <c r="W75" s="24">
        <f>Main!W324</f>
        <v>0</v>
      </c>
      <c r="X75" s="24">
        <f>Main!X324</f>
        <v>5.4896948338597795</v>
      </c>
    </row>
    <row r="76" spans="1:24" x14ac:dyDescent="0.25">
      <c r="B76" s="38">
        <f ca="1">Main!B325</f>
        <v>0.7000103791597212</v>
      </c>
      <c r="D76" s="24">
        <f>Main!D325</f>
        <v>5.5858778760588867</v>
      </c>
      <c r="E76" s="24">
        <f>Main!E325</f>
        <v>5.3133168235811317</v>
      </c>
      <c r="F76" s="24">
        <f>Main!F325</f>
        <v>0.18423340144835959</v>
      </c>
      <c r="G76" s="24">
        <f>Main!G325</f>
        <v>9.6640371705298059E-2</v>
      </c>
      <c r="H76" s="24">
        <f>Main!H325</f>
        <v>1.017120649091191</v>
      </c>
      <c r="I76" s="24">
        <f>Main!I325</f>
        <v>0.1200000000070001</v>
      </c>
      <c r="J76" s="24">
        <f>Main!J325</f>
        <v>72.642282218289026</v>
      </c>
      <c r="K76" s="24">
        <f>Main!K325</f>
        <v>122.05447789010991</v>
      </c>
      <c r="L76" s="24">
        <f>Main!L325</f>
        <v>9.4752410752556067</v>
      </c>
      <c r="M76" s="24">
        <f>Main!M325</f>
        <v>8.4000000000069992</v>
      </c>
      <c r="N76" s="24">
        <f>Main!N325</f>
        <v>1.0291052811480761</v>
      </c>
      <c r="O76" s="24">
        <f>Main!O325</f>
        <v>0.14316760274211068</v>
      </c>
      <c r="P76" s="24">
        <f>Main!P325</f>
        <v>2.823935851699249E-2</v>
      </c>
      <c r="Q76" s="24">
        <f>Main!Q325</f>
        <v>49.412195671827874</v>
      </c>
      <c r="R76" s="24">
        <f>Main!R325</f>
        <v>3.9447264270656315</v>
      </c>
      <c r="S76" s="24" t="str">
        <f>Main!S325</f>
        <v/>
      </c>
      <c r="T76" s="24">
        <f>Main!T325</f>
        <v>-1.8902485369487749</v>
      </c>
      <c r="U76" s="24">
        <f>Main!U325</f>
        <v>2.0544778901098564</v>
      </c>
      <c r="V76" s="24">
        <f>Main!V325</f>
        <v>0</v>
      </c>
      <c r="W76" s="24">
        <f>Main!W325</f>
        <v>0</v>
      </c>
      <c r="X76" s="24">
        <f>Main!X325</f>
        <v>5.4901516232451897</v>
      </c>
    </row>
    <row r="77" spans="1:24" x14ac:dyDescent="0.25">
      <c r="B77" s="38">
        <f ca="1">Main!B326</f>
        <v>0.80001037916008499</v>
      </c>
      <c r="D77" s="24">
        <f>Main!D326</f>
        <v>5.3707917184396488</v>
      </c>
      <c r="E77" s="24">
        <f>Main!E326</f>
        <v>5.3338322124350004</v>
      </c>
      <c r="F77" s="24">
        <f>Main!F326</f>
        <v>0.19324644449285078</v>
      </c>
      <c r="G77" s="24">
        <f>Main!G326</f>
        <v>9.5635568469120566E-2</v>
      </c>
      <c r="H77" s="24">
        <f>Main!H326</f>
        <v>1.0210478806725971</v>
      </c>
      <c r="I77" s="24">
        <f>Main!I326</f>
        <v>0.1200000000080001</v>
      </c>
      <c r="J77" s="24">
        <f>Main!J326</f>
        <v>69.192027935306413</v>
      </c>
      <c r="K77" s="24">
        <f>Main!K326</f>
        <v>122.52574567975965</v>
      </c>
      <c r="L77" s="24">
        <f>Main!L326</f>
        <v>9.5497079001385679</v>
      </c>
      <c r="M77" s="24">
        <f>Main!M326</f>
        <v>8.4000000000079975</v>
      </c>
      <c r="N77" s="24">
        <f>Main!N326</f>
        <v>1.0378864036635975</v>
      </c>
      <c r="O77" s="24">
        <f>Main!O326</f>
        <v>0.14742798638892329</v>
      </c>
      <c r="P77" s="24">
        <f>Main!P326</f>
        <v>2.8443132256170827E-2</v>
      </c>
      <c r="Q77" s="24">
        <f>Main!Q326</f>
        <v>53.333717744461239</v>
      </c>
      <c r="R77" s="24">
        <f>Main!R326</f>
        <v>4.3866153488370969</v>
      </c>
      <c r="S77" s="24" t="str">
        <f>Main!S326</f>
        <v/>
      </c>
      <c r="T77" s="24">
        <f>Main!T326</f>
        <v>-1.8608696690694668</v>
      </c>
      <c r="U77" s="24">
        <f>Main!U326</f>
        <v>2.5257456797596305</v>
      </c>
      <c r="V77" s="24">
        <f>Main!V326</f>
        <v>0</v>
      </c>
      <c r="W77" s="24">
        <f>Main!W326</f>
        <v>0</v>
      </c>
      <c r="X77" s="24">
        <f>Main!X326</f>
        <v>5.4906084126305998</v>
      </c>
    </row>
    <row r="78" spans="1:24" x14ac:dyDescent="0.25">
      <c r="B78" s="38">
        <f ca="1">Main!B327</f>
        <v>0.90001037916044879</v>
      </c>
      <c r="D78" s="24">
        <f>Main!D327</f>
        <v>5.1783035845596013</v>
      </c>
      <c r="E78" s="24">
        <f>Main!E327</f>
        <v>5.3524100039993403</v>
      </c>
      <c r="F78" s="24">
        <f>Main!F327</f>
        <v>0.20214114908053196</v>
      </c>
      <c r="G78" s="24">
        <f>Main!G327</f>
        <v>9.4743695365755026E-2</v>
      </c>
      <c r="H78" s="24">
        <f>Main!H327</f>
        <v>1.0246042007728651</v>
      </c>
      <c r="I78" s="24">
        <f>Main!I327</f>
        <v>0.1200000000090001</v>
      </c>
      <c r="J78" s="24">
        <f>Main!J327</f>
        <v>66.110053816755865</v>
      </c>
      <c r="K78" s="24">
        <f>Main!K327</f>
        <v>122.95250409167279</v>
      </c>
      <c r="L78" s="24">
        <f>Main!L327</f>
        <v>9.6088621877255527</v>
      </c>
      <c r="M78" s="24">
        <f>Main!M327</f>
        <v>8.4000000000089994</v>
      </c>
      <c r="N78" s="24">
        <f>Main!N327</f>
        <v>1.046748236831291</v>
      </c>
      <c r="O78" s="24">
        <f>Main!O327</f>
        <v>0.15150062187726276</v>
      </c>
      <c r="P78" s="24">
        <f>Main!P327</f>
        <v>2.8733109122524917E-2</v>
      </c>
      <c r="Q78" s="24">
        <f>Main!Q327</f>
        <v>56.842450274925923</v>
      </c>
      <c r="R78" s="24">
        <f>Main!R327</f>
        <v>4.7862324836153896</v>
      </c>
      <c r="S78" s="24" t="str">
        <f>Main!S327</f>
        <v/>
      </c>
      <c r="T78" s="24">
        <f>Main!T327</f>
        <v>-1.8337283919336136</v>
      </c>
      <c r="U78" s="24">
        <f>Main!U327</f>
        <v>2.9525040916727758</v>
      </c>
      <c r="V78" s="24">
        <f>Main!V327</f>
        <v>0</v>
      </c>
      <c r="W78" s="24">
        <f>Main!W327</f>
        <v>0</v>
      </c>
      <c r="X78" s="24">
        <f>Main!X327</f>
        <v>5.49106520201601</v>
      </c>
    </row>
    <row r="79" spans="1:24" x14ac:dyDescent="0.25">
      <c r="B79" s="38">
        <f ca="1">Main!B328</f>
        <v>1.0000103791608126</v>
      </c>
      <c r="D79" s="24">
        <f>Main!D328</f>
        <v>5.0062761490697447</v>
      </c>
      <c r="E79" s="24">
        <f>Main!E328</f>
        <v>5.3693219092784821</v>
      </c>
      <c r="F79" s="24">
        <f>Main!F328</f>
        <v>0.21087201401860453</v>
      </c>
      <c r="G79" s="24">
        <f>Main!G328</f>
        <v>9.3946859852676895E-2</v>
      </c>
      <c r="H79" s="24">
        <f>Main!H328</f>
        <v>1.0278416226413951</v>
      </c>
      <c r="I79" s="24">
        <f>Main!I328</f>
        <v>0.12000000001000009</v>
      </c>
      <c r="J79" s="24">
        <f>Main!J328</f>
        <v>63.34068334256893</v>
      </c>
      <c r="K79" s="24">
        <f>Main!K328</f>
        <v>123.34099471577741</v>
      </c>
      <c r="L79" s="24">
        <f>Main!L328</f>
        <v>9.6522707492911159</v>
      </c>
      <c r="M79" s="24">
        <f>Main!M328</f>
        <v>8.4000000000099995</v>
      </c>
      <c r="N79" s="24">
        <f>Main!N328</f>
        <v>1.0556835342454689</v>
      </c>
      <c r="O79" s="24">
        <f>Main!O328</f>
        <v>0.15534651357417956</v>
      </c>
      <c r="P79" s="24">
        <f>Main!P328</f>
        <v>2.9128929166853133E-2</v>
      </c>
      <c r="Q79" s="24">
        <f>Main!Q328</f>
        <v>60.00031137321848</v>
      </c>
      <c r="R79" s="24">
        <f>Main!R328</f>
        <v>5.1495573286105181</v>
      </c>
      <c r="S79" s="24" t="str">
        <f>Main!S328</f>
        <v/>
      </c>
      <c r="T79" s="24">
        <f>Main!T328</f>
        <v>-1.8085626128231036</v>
      </c>
      <c r="U79" s="24">
        <f>Main!U328</f>
        <v>3.3409947157774145</v>
      </c>
      <c r="V79" s="24">
        <f>Main!V328</f>
        <v>0</v>
      </c>
      <c r="W79" s="24">
        <f>Main!W328</f>
        <v>0</v>
      </c>
      <c r="X79" s="24">
        <f>Main!X328</f>
        <v>5.4915219914014202</v>
      </c>
    </row>
    <row r="80" spans="1:24" x14ac:dyDescent="0.25">
      <c r="B80" s="38">
        <f ca="1">Main!B329</f>
        <v>1.1000103791611764</v>
      </c>
      <c r="D80" s="24">
        <f>Main!D329</f>
        <v>4.8535259791742407</v>
      </c>
      <c r="E80" s="24">
        <f>Main!E329</f>
        <v>5.3847901051570624</v>
      </c>
      <c r="F80" s="24">
        <f>Main!F329</f>
        <v>0.21936339613692818</v>
      </c>
      <c r="G80" s="24">
        <f>Main!G329</f>
        <v>9.3230745978512275E-2</v>
      </c>
      <c r="H80" s="24">
        <f>Main!H329</f>
        <v>1.0308026772818175</v>
      </c>
      <c r="I80" s="24">
        <f>Main!I329</f>
        <v>0.1200000000110001</v>
      </c>
      <c r="J80" s="24">
        <f>Main!J329</f>
        <v>60.838895990607654</v>
      </c>
      <c r="K80" s="24">
        <f>Main!K329</f>
        <v>123.6963212725091</v>
      </c>
      <c r="L80" s="24">
        <f>Main!L329</f>
        <v>9.6778605176477743</v>
      </c>
      <c r="M80" s="24">
        <f>Main!M329</f>
        <v>8.4000000000109996</v>
      </c>
      <c r="N80" s="24">
        <f>Main!N329</f>
        <v>1.0646859419856689</v>
      </c>
      <c r="O80" s="24">
        <f>Main!O329</f>
        <v>0.15889981898056083</v>
      </c>
      <c r="P80" s="24">
        <f>Main!P329</f>
        <v>2.9670492209720428E-2</v>
      </c>
      <c r="Q80" s="24">
        <f>Main!Q329</f>
        <v>62.857425281912434</v>
      </c>
      <c r="R80" s="24">
        <f>Main!R329</f>
        <v>5.4814726249223966</v>
      </c>
      <c r="S80" s="24" t="str">
        <f>Main!S329</f>
        <v/>
      </c>
      <c r="T80" s="24">
        <f>Main!T329</f>
        <v>-1.7851513524023437</v>
      </c>
      <c r="U80" s="24">
        <f>Main!U329</f>
        <v>3.6963212725090528</v>
      </c>
      <c r="V80" s="24">
        <f>Main!V329</f>
        <v>0</v>
      </c>
      <c r="W80" s="24">
        <f>Main!W329</f>
        <v>0</v>
      </c>
      <c r="X80" s="24">
        <f>Main!X329</f>
        <v>5.4919787807868303</v>
      </c>
    </row>
    <row r="82" spans="1:7" x14ac:dyDescent="0.25">
      <c r="A82" s="567" t="s">
        <v>261</v>
      </c>
      <c r="B82" s="437"/>
    </row>
    <row r="83" spans="1:7" x14ac:dyDescent="0.25">
      <c r="B83" s="39"/>
      <c r="F83" s="24" t="e">
        <f>MATCH(1,F84:F102,0)</f>
        <v>#N/A</v>
      </c>
      <c r="G83" s="24" t="str">
        <f ca="1">IF(NOT(ISERROR(F83)),main_page_error &amp; " when determining sensitivity to " &amp; OFFSET(B84,F83-1,0) &amp;". " &amp; the_error_was  &amp; OFFSET(G84,F83-1,0),"")</f>
        <v/>
      </c>
    </row>
    <row r="84" spans="1:7" x14ac:dyDescent="0.25">
      <c r="B84" s="40" t="str">
        <f>Main!B335</f>
        <v>Initial return on capital</v>
      </c>
      <c r="D84" s="24">
        <f>Main!F335</f>
        <v>-0.30139126871155231</v>
      </c>
      <c r="F84" s="24">
        <f>IF(LEN(G84)&gt;0,1,0)</f>
        <v>0</v>
      </c>
      <c r="G84" s="24" t="str">
        <f>Main!E335</f>
        <v/>
      </c>
    </row>
    <row r="85" spans="1:7" x14ac:dyDescent="0.25">
      <c r="B85" s="40" t="str">
        <f>Main!B336</f>
        <v>Initial debt / equity ratio</v>
      </c>
      <c r="D85" s="24">
        <f>Main!F336</f>
        <v>-2.60086957813499E-2</v>
      </c>
      <c r="F85" s="24">
        <f t="shared" ref="F85:F102" si="6">IF(LEN(G85)&gt;0,1,0)</f>
        <v>0</v>
      </c>
      <c r="G85" s="24" t="str">
        <f>Main!E336</f>
        <v/>
      </c>
    </row>
    <row r="86" spans="1:7" x14ac:dyDescent="0.25">
      <c r="B86" s="40" t="str">
        <f>Main!B337</f>
        <v>Initial depreciation rate</v>
      </c>
      <c r="D86" s="24">
        <f>Main!F337</f>
        <v>0.23460478219157643</v>
      </c>
      <c r="F86" s="24">
        <f t="shared" si="6"/>
        <v>0</v>
      </c>
      <c r="G86" s="24" t="str">
        <f>Main!E337</f>
        <v/>
      </c>
    </row>
    <row r="87" spans="1:7" x14ac:dyDescent="0.25">
      <c r="B87" s="40" t="str">
        <f>Main!B338</f>
        <v>Initial tax rate</v>
      </c>
      <c r="D87" s="24">
        <f>Main!F338</f>
        <v>5.3355533852103676E-2</v>
      </c>
      <c r="F87" s="24">
        <f t="shared" si="6"/>
        <v>0</v>
      </c>
      <c r="G87" s="24" t="str">
        <f>Main!E338</f>
        <v/>
      </c>
    </row>
    <row r="88" spans="1:7" x14ac:dyDescent="0.25">
      <c r="B88" s="40" t="str">
        <f>Main!B339</f>
        <v>Initial risk free rate</v>
      </c>
      <c r="D88" s="24">
        <f>Main!F339</f>
        <v>4.3938095761069107E-3</v>
      </c>
      <c r="F88" s="24">
        <f t="shared" si="6"/>
        <v>0</v>
      </c>
      <c r="G88" s="24" t="str">
        <f>Main!E339</f>
        <v/>
      </c>
    </row>
    <row r="89" spans="1:7" x14ac:dyDescent="0.25">
      <c r="B89" s="40" t="str">
        <f>Main!B340</f>
        <v>Initial equity margin</v>
      </c>
      <c r="D89" s="24">
        <f>Main!F340</f>
        <v>-7.1917027983961823E-2</v>
      </c>
      <c r="F89" s="24">
        <f t="shared" si="6"/>
        <v>0</v>
      </c>
      <c r="G89" s="24" t="str">
        <f>Main!E340</f>
        <v/>
      </c>
    </row>
    <row r="90" spans="1:7" x14ac:dyDescent="0.25">
      <c r="B90" s="40" t="str">
        <f>Main!B341</f>
        <v>Initial growth rate</v>
      </c>
      <c r="D90" s="24">
        <f>Main!F341</f>
        <v>-6.0350495457663911E-3</v>
      </c>
      <c r="F90" s="24">
        <f t="shared" si="6"/>
        <v>0</v>
      </c>
      <c r="G90" s="24" t="str">
        <f>Main!E341</f>
        <v/>
      </c>
    </row>
    <row r="91" spans="1:7" x14ac:dyDescent="0.25">
      <c r="B91" s="40" t="str">
        <f>Main!B342</f>
        <v>Terminal return on capital</v>
      </c>
      <c r="D91" s="24">
        <f>Main!F342</f>
        <v>0.76929352450868382</v>
      </c>
      <c r="F91" s="24">
        <f t="shared" si="6"/>
        <v>0</v>
      </c>
      <c r="G91" s="24" t="str">
        <f>Main!E342</f>
        <v/>
      </c>
    </row>
    <row r="92" spans="1:7" x14ac:dyDescent="0.25">
      <c r="B92" s="40" t="str">
        <f>Main!B343</f>
        <v>Terminal debt / equity ratio</v>
      </c>
      <c r="D92" s="24">
        <f>Main!F343</f>
        <v>1.2539900424592076E-2</v>
      </c>
      <c r="F92" s="24">
        <f t="shared" si="6"/>
        <v>0</v>
      </c>
      <c r="G92" s="24" t="str">
        <f>Main!E343</f>
        <v/>
      </c>
    </row>
    <row r="93" spans="1:7" x14ac:dyDescent="0.25">
      <c r="B93" s="40" t="str">
        <f>Main!B344</f>
        <v>Terminal depreciation rate</v>
      </c>
      <c r="D93" s="24">
        <f>Main!F344</f>
        <v>-0.56804565315969846</v>
      </c>
      <c r="F93" s="24">
        <f t="shared" si="6"/>
        <v>0</v>
      </c>
      <c r="G93" s="24" t="str">
        <f>Main!E344</f>
        <v/>
      </c>
    </row>
    <row r="94" spans="1:7" x14ac:dyDescent="0.25">
      <c r="B94" s="40" t="str">
        <f>Main!B345</f>
        <v>Terminal tax rate</v>
      </c>
      <c r="D94" s="24">
        <f>Main!F345</f>
        <v>-0.10488899314077837</v>
      </c>
      <c r="F94" s="24">
        <f t="shared" si="6"/>
        <v>0</v>
      </c>
      <c r="G94" s="24" t="str">
        <f>Main!E345</f>
        <v/>
      </c>
    </row>
    <row r="95" spans="1:7" x14ac:dyDescent="0.25">
      <c r="B95" s="40" t="str">
        <f>Main!B346</f>
        <v>Terminal risk free rate</v>
      </c>
      <c r="D95" s="24">
        <f>Main!F346</f>
        <v>-0.76647990583312886</v>
      </c>
      <c r="F95" s="24">
        <f t="shared" si="6"/>
        <v>0</v>
      </c>
      <c r="G95" s="24" t="str">
        <f>Main!E346</f>
        <v/>
      </c>
    </row>
    <row r="96" spans="1:7" x14ac:dyDescent="0.25">
      <c r="B96" s="40" t="str">
        <f>Main!B347</f>
        <v>Terminal equity margin</v>
      </c>
      <c r="D96" s="24">
        <f>Main!F347</f>
        <v>-0.79998564331910682</v>
      </c>
      <c r="F96" s="24">
        <f t="shared" si="6"/>
        <v>0</v>
      </c>
      <c r="G96" s="24" t="str">
        <f>Main!E347</f>
        <v/>
      </c>
    </row>
    <row r="97" spans="1:8" x14ac:dyDescent="0.25">
      <c r="B97" s="40" t="str">
        <f>Main!B348</f>
        <v>Terminal growth rate</v>
      </c>
      <c r="D97" s="24">
        <f>Main!F348</f>
        <v>-8.6876667290312071E-2</v>
      </c>
      <c r="F97" s="24">
        <f t="shared" si="6"/>
        <v>0</v>
      </c>
      <c r="G97" s="24" t="str">
        <f>Main!E348</f>
        <v/>
      </c>
    </row>
    <row r="98" spans="1:8" x14ac:dyDescent="0.25">
      <c r="B98" s="40" t="str">
        <f ca="1">Main!B349</f>
        <v>Coverage ratio 7.5 interest margin</v>
      </c>
      <c r="D98" s="24">
        <f>Main!F349</f>
        <v>2.1104970279406388E-4</v>
      </c>
      <c r="F98" s="24">
        <f t="shared" si="6"/>
        <v>0</v>
      </c>
      <c r="G98" s="24" t="str">
        <f>Main!E349</f>
        <v/>
      </c>
    </row>
    <row r="99" spans="1:8" x14ac:dyDescent="0.25">
      <c r="B99" s="40" t="str">
        <f ca="1">Main!B350</f>
        <v>Coverage ratio 6 interest margin</v>
      </c>
      <c r="D99" s="24">
        <f>Main!F350</f>
        <v>0</v>
      </c>
      <c r="F99" s="24">
        <f t="shared" si="6"/>
        <v>0</v>
      </c>
      <c r="G99" s="24" t="str">
        <f>Main!E350</f>
        <v/>
      </c>
    </row>
    <row r="100" spans="1:8" x14ac:dyDescent="0.25">
      <c r="B100" s="40" t="str">
        <f ca="1">Main!B351</f>
        <v>Coverage ratio 4.5 interest margin</v>
      </c>
      <c r="D100" s="24">
        <f>Main!F351</f>
        <v>0</v>
      </c>
      <c r="F100" s="24">
        <f t="shared" si="6"/>
        <v>0</v>
      </c>
      <c r="G100" s="24" t="str">
        <f>Main!E351</f>
        <v/>
      </c>
    </row>
    <row r="101" spans="1:8" x14ac:dyDescent="0.25">
      <c r="B101" s="40" t="str">
        <f ca="1">Main!B352</f>
        <v>Coverage ratio 3 interest margin</v>
      </c>
      <c r="D101" s="24">
        <f>Main!F352</f>
        <v>0</v>
      </c>
      <c r="F101" s="24">
        <f t="shared" si="6"/>
        <v>0</v>
      </c>
      <c r="G101" s="24" t="str">
        <f>Main!E352</f>
        <v/>
      </c>
    </row>
    <row r="102" spans="1:8" x14ac:dyDescent="0.25">
      <c r="B102" s="40" t="str">
        <f ca="1">Main!B353</f>
        <v>Coverage ratio 1.5 interest margin</v>
      </c>
      <c r="D102" s="24">
        <f>Main!F353</f>
        <v>0</v>
      </c>
      <c r="F102" s="24">
        <f t="shared" si="6"/>
        <v>0</v>
      </c>
      <c r="G102" s="24" t="str">
        <f>Main!E353</f>
        <v/>
      </c>
    </row>
    <row r="103" spans="1:8" x14ac:dyDescent="0.25">
      <c r="B103" s="39"/>
    </row>
    <row r="104" spans="1:8" x14ac:dyDescent="0.25">
      <c r="B104" s="39"/>
    </row>
    <row r="105" spans="1:8" x14ac:dyDescent="0.25">
      <c r="A105" s="58" t="s">
        <v>308</v>
      </c>
    </row>
    <row r="106" spans="1:8" x14ac:dyDescent="0.25">
      <c r="B106" s="59" t="str">
        <f ca="1">"Return on equity and return on capital " &amp;'Assumptions vary'!I22</f>
        <v>Return on equity and return on capital (in base year) as function of debt / equity ratio</v>
      </c>
      <c r="C106" s="59"/>
      <c r="D106" s="59"/>
      <c r="E106" s="59"/>
      <c r="F106" s="59"/>
      <c r="G106" s="59"/>
      <c r="H106" s="60"/>
    </row>
    <row r="107" spans="1:8" x14ac:dyDescent="0.25">
      <c r="B107" s="59" t="str">
        <f ca="1">"Free cash flow " &amp;'Assumptions vary'!I22</f>
        <v>Free cash flow (in base year) as function of debt / equity ratio</v>
      </c>
      <c r="C107" s="59"/>
      <c r="D107" s="59"/>
      <c r="E107" s="59"/>
      <c r="F107" s="59"/>
      <c r="G107" s="59"/>
      <c r="H107" s="60"/>
    </row>
    <row r="108" spans="1:8" x14ac:dyDescent="0.25">
      <c r="B108" s="16" t="str">
        <f ca="1">"Cost of capital " &amp;'Assumptions vary'!I22</f>
        <v>Cost of capital (in base year) as function of debt / equity ratio</v>
      </c>
      <c r="C108" s="59"/>
      <c r="D108" s="59"/>
      <c r="E108" s="59"/>
      <c r="F108" s="59"/>
      <c r="G108" s="59"/>
      <c r="H108" s="60"/>
    </row>
    <row r="109" spans="1:8" x14ac:dyDescent="0.25">
      <c r="B109" s="59" t="str">
        <f ca="1">"Market value " &amp; 'Assumptions vary'!I22</f>
        <v>Market value (in base year) as function of debt / equity ratio</v>
      </c>
      <c r="C109" s="59"/>
      <c r="D109" s="59"/>
      <c r="E109" s="59"/>
      <c r="F109" s="59"/>
      <c r="G109" s="59"/>
      <c r="H109" s="60"/>
    </row>
    <row r="110" spans="1:8" x14ac:dyDescent="0.25">
      <c r="B110" s="59" t="str">
        <f ca="1">"P/E &amp; EV/EBITDA " &amp;'Assumptions vary'!I22</f>
        <v>P/E &amp; EV/EBITDA (in base year) as function of debt / equity ratio</v>
      </c>
      <c r="C110" s="59"/>
      <c r="D110" s="59"/>
      <c r="E110" s="59"/>
      <c r="F110" s="59"/>
      <c r="G110" s="59"/>
      <c r="H110" s="60"/>
    </row>
    <row r="111" spans="1:8" x14ac:dyDescent="0.25">
      <c r="B111" s="59" t="str">
        <f ca="1">"Market/book value " &amp;'Assumptions vary'!I22</f>
        <v>Market/book value (in base year) as function of debt / equity ratio</v>
      </c>
      <c r="C111" s="59"/>
      <c r="D111" s="59"/>
      <c r="E111" s="59"/>
      <c r="F111" s="59"/>
      <c r="G111" s="59"/>
      <c r="H111" s="60"/>
    </row>
    <row r="112" spans="1:8" x14ac:dyDescent="0.25">
      <c r="B112" s="59"/>
      <c r="C112" s="59"/>
      <c r="D112" s="59"/>
      <c r="E112" s="59"/>
      <c r="F112" s="59"/>
      <c r="G112" s="59"/>
      <c r="H112" s="60"/>
    </row>
    <row r="113" spans="1:9" x14ac:dyDescent="0.25">
      <c r="B113" s="61" t="str">
        <f>"Interest margin as function of coverage ratio for chosen scenario (" &amp; hyper_scenario &amp;")"</f>
        <v>Interest margin as function of coverage ratio for chosen scenario (1)</v>
      </c>
      <c r="C113" s="49"/>
      <c r="D113" s="49"/>
      <c r="E113" s="49"/>
    </row>
    <row r="114" spans="1:9" x14ac:dyDescent="0.25">
      <c r="B114" s="49"/>
      <c r="C114" s="49"/>
      <c r="D114" s="49"/>
      <c r="E114" s="49"/>
    </row>
    <row r="115" spans="1:9" x14ac:dyDescent="0.25">
      <c r="A115" s="24" t="s">
        <v>354</v>
      </c>
      <c r="B115" s="49"/>
      <c r="C115" s="49"/>
      <c r="D115" s="49"/>
      <c r="E115" s="49"/>
    </row>
    <row r="116" spans="1:9" ht="13" thickBot="1" x14ac:dyDescent="0.3">
      <c r="A116" s="58"/>
    </row>
    <row r="117" spans="1:9" s="10" customFormat="1" x14ac:dyDescent="0.25">
      <c r="B117" s="63"/>
    </row>
    <row r="118" spans="1:9" x14ac:dyDescent="0.25">
      <c r="B118" s="64" t="str">
        <f>Main!K383</f>
        <v>Scenario 1</v>
      </c>
      <c r="C118" s="24">
        <f>IF(ISERROR(Main!V383),"",Main!V383)</f>
        <v>0</v>
      </c>
      <c r="D118" s="24">
        <f>IF(ISERROR(Main!W383),"",Main!W383)</f>
        <v>0</v>
      </c>
      <c r="E118" s="24">
        <f>IF(ISERROR(Main!X383),"",Main!X383)</f>
        <v>0</v>
      </c>
      <c r="F118" s="24">
        <f>IF(ISERROR(Main!Y383),"",Main!Y383)</f>
        <v>83.921757918230455</v>
      </c>
      <c r="H118" s="24" t="s">
        <v>355</v>
      </c>
      <c r="I118" s="24">
        <f>IF(ISERROR(Main!O382+4),1,Main!O382+4)</f>
        <v>11</v>
      </c>
    </row>
    <row r="119" spans="1:9" x14ac:dyDescent="0.25">
      <c r="B119" s="64" t="str">
        <f ca="1">Main!K384</f>
        <v>Initial return on capital</v>
      </c>
      <c r="C119" s="24">
        <f ca="1">IF(ISERROR(Main!V384),"",Main!V384)</f>
        <v>79.330444471840309</v>
      </c>
      <c r="D119" s="24">
        <f ca="1">IF(ISERROR(Main!W384),"",Main!W384)</f>
        <v>0</v>
      </c>
      <c r="E119" s="24">
        <f ca="1">IF(ISERROR(Main!X384),"",Main!X384)</f>
        <v>0</v>
      </c>
      <c r="F119" s="24">
        <f ca="1">IF(ISERROR(Main!Y384),"",Main!Y384)</f>
        <v>4.5913134463901457</v>
      </c>
    </row>
    <row r="120" spans="1:9" x14ac:dyDescent="0.25">
      <c r="B120" s="64" t="str">
        <f ca="1">Main!K385</f>
        <v>Initial debt / equity ratio</v>
      </c>
      <c r="C120" s="24">
        <f ca="1">IF(ISERROR(Main!V385),"",Main!V385)</f>
        <v>62.034288520886015</v>
      </c>
      <c r="D120" s="24">
        <f ca="1">IF(ISERROR(Main!W385),"",Main!W385)</f>
        <v>0</v>
      </c>
      <c r="E120" s="24">
        <f ca="1">IF(ISERROR(Main!X385),"",Main!X385)</f>
        <v>0</v>
      </c>
      <c r="F120" s="24">
        <f ca="1">IF(ISERROR(Main!Y385),"",Main!Y385)</f>
        <v>17.296155950954294</v>
      </c>
      <c r="H120" s="24" t="str">
        <f>"The " &amp; LOWER(Attribution!H5) &amp; " in " &amp; Attribution!L5 &amp; " for scenario 1 is "</f>
        <v xml:space="preserve">The market value of equity in 2022 for scenario 1 is </v>
      </c>
    </row>
    <row r="121" spans="1:9" x14ac:dyDescent="0.25">
      <c r="B121" s="64" t="str">
        <f ca="1">Main!K386</f>
        <v>Initial tax rate</v>
      </c>
      <c r="C121" s="24">
        <f ca="1">IF(ISERROR(Main!V386),"",Main!V386)</f>
        <v>62.034288520886015</v>
      </c>
      <c r="D121" s="24">
        <f ca="1">IF(ISERROR(Main!W386),"",Main!W386)</f>
        <v>0</v>
      </c>
      <c r="E121" s="24">
        <f ca="1">IF(ISERROR(Main!X386),"",Main!X386)</f>
        <v>0</v>
      </c>
      <c r="F121" s="24">
        <f ca="1">IF(ISERROR(Main!Y386),"",Main!Y386)</f>
        <v>1.0455561080884692</v>
      </c>
      <c r="H121" s="24" t="str">
        <f ca="1">VLOOKUP(Attribution!H5,Main!I334:L378,4,FALSE)</f>
        <v>n</v>
      </c>
    </row>
    <row r="122" spans="1:9" x14ac:dyDescent="0.25">
      <c r="B122" s="64" t="str">
        <f ca="1">Main!K387</f>
        <v>Initial growth rate</v>
      </c>
      <c r="C122" s="24">
        <f ca="1">IF(ISERROR(Main!V387),"",Main!V387)</f>
        <v>60.997122695965736</v>
      </c>
      <c r="D122" s="24">
        <f ca="1">IF(ISERROR(Main!W387),"",Main!W387)</f>
        <v>0</v>
      </c>
      <c r="E122" s="24">
        <f ca="1">IF(ISERROR(Main!X387),"",Main!X387)</f>
        <v>0</v>
      </c>
      <c r="F122" s="24">
        <f ca="1">IF(ISERROR(Main!Y387),"",Main!Y387)</f>
        <v>2.0827219330087487</v>
      </c>
      <c r="H122" s="24">
        <f>Main!D383</f>
        <v>83.921757918230455</v>
      </c>
      <c r="I122" s="66" t="str">
        <f ca="1">IF($H$121="n",TEXT(H122,"0.00"),TEXT(H122,"0.00%"))</f>
        <v>83.92</v>
      </c>
    </row>
    <row r="123" spans="1:9" x14ac:dyDescent="0.25">
      <c r="B123" s="64" t="str">
        <f ca="1">Main!K388</f>
        <v>Terminal debt / equity ratio</v>
      </c>
      <c r="C123" s="24">
        <f ca="1">IF(ISERROR(Main!V388),"",Main!V388)</f>
        <v>60.997122695965736</v>
      </c>
      <c r="D123" s="24">
        <f ca="1">IF(ISERROR(Main!W388),"",Main!W388)</f>
        <v>0</v>
      </c>
      <c r="E123" s="24">
        <f ca="1">IF(ISERROR(Main!X388),"",Main!X388)</f>
        <v>0</v>
      </c>
      <c r="F123" s="24">
        <f ca="1">IF(ISERROR(Main!Y388),"",Main!Y388)</f>
        <v>11.254167063402434</v>
      </c>
      <c r="H123" s="24">
        <f>Main!D398</f>
        <v>66.980109396870134</v>
      </c>
      <c r="I123" s="66" t="str">
        <f ca="1">IF($H$121="n",TEXT(H123,"0.00"),TEXT(H123,"0.00%"))</f>
        <v>66.98</v>
      </c>
    </row>
    <row r="124" spans="1:9" x14ac:dyDescent="0.25">
      <c r="B124" s="64" t="str">
        <f ca="1">Main!K389</f>
        <v>Terminal tax rate</v>
      </c>
      <c r="C124" s="24">
        <f ca="1">IF(ISERROR(Main!V389),"",Main!V389)</f>
        <v>72.251289759368177</v>
      </c>
      <c r="D124" s="24">
        <f ca="1">IF(ISERROR(Main!W389),"",Main!W389)</f>
        <v>0</v>
      </c>
      <c r="E124" s="24">
        <f ca="1">IF(ISERROR(Main!X389),"",Main!X389)</f>
        <v>0</v>
      </c>
      <c r="F124" s="24">
        <f ca="1">IF(ISERROR(Main!Y389),"",Main!Y389)</f>
        <v>5.087588810069775</v>
      </c>
      <c r="H124" s="24" t="str">
        <f ca="1">H120&amp; I122 &amp; " and for scenario 2 it is " &amp; I123</f>
        <v>The market value of equity in 2022 for scenario 1 is 83.92 and for scenario 2 it is 66.98</v>
      </c>
    </row>
    <row r="125" spans="1:9" x14ac:dyDescent="0.25">
      <c r="B125" s="64" t="str">
        <f ca="1">Main!K390</f>
        <v>Terminal risk free rate</v>
      </c>
      <c r="C125" s="24">
        <f ca="1">IF(ISERROR(Main!V390),"",Main!V390)</f>
        <v>67.222852293098171</v>
      </c>
      <c r="D125" s="24">
        <f ca="1">IF(ISERROR(Main!W390),"",Main!W390)</f>
        <v>0</v>
      </c>
      <c r="E125" s="24">
        <f ca="1">IF(ISERROR(Main!X390),"",Main!X390)</f>
        <v>0</v>
      </c>
      <c r="F125" s="24">
        <f ca="1">IF(ISERROR(Main!Y390),"",Main!Y390)</f>
        <v>10.116026276339781</v>
      </c>
      <c r="H125" s="24" t="str">
        <f ca="1">H124&amp;".  The chart to the right shows where the difference between the scenarios comes from.  Only factors that have a material effect on the difference are shown."</f>
        <v>The market value of equity in 2022 for scenario 1 is 83.92 and for scenario 2 it is 66.98.  The chart to the right shows where the difference between the scenarios comes from.  Only factors that have a material effect on the difference are shown.</v>
      </c>
    </row>
    <row r="126" spans="1:9" x14ac:dyDescent="0.25">
      <c r="B126" s="64" t="str">
        <f ca="1">Main!K391</f>
        <v>Scenario 2</v>
      </c>
      <c r="C126" s="24">
        <f ca="1">IF(ISERROR(Main!V391),"",Main!V391)</f>
        <v>0</v>
      </c>
      <c r="D126" s="24">
        <f ca="1">IF(ISERROR(Main!W391),"",Main!W391)</f>
        <v>0</v>
      </c>
      <c r="E126" s="24">
        <f ca="1">IF(ISERROR(Main!X391),"",Main!X391)</f>
        <v>0</v>
      </c>
      <c r="F126" s="24">
        <f ca="1">IF(ISERROR(Main!Y391),"",Main!Y391)</f>
        <v>67.222852293098171</v>
      </c>
    </row>
    <row r="127" spans="1:9" x14ac:dyDescent="0.25">
      <c r="B127" s="64" t="str">
        <f ca="1">Main!K392</f>
        <v/>
      </c>
      <c r="C127" s="24" t="str">
        <f ca="1">IF(ISERROR(Main!V392),"",Main!V392)</f>
        <v/>
      </c>
      <c r="D127" s="24" t="str">
        <f ca="1">IF(ISERROR(Main!W392),"",Main!W392)</f>
        <v/>
      </c>
      <c r="E127" s="24" t="str">
        <f ca="1">IF(ISERROR(Main!X392),"",Main!X392)</f>
        <v/>
      </c>
      <c r="F127" s="24" t="str">
        <f ca="1">IF(ISERROR(Main!Y392),"",Main!Y392)</f>
        <v/>
      </c>
    </row>
    <row r="128" spans="1:9" x14ac:dyDescent="0.25">
      <c r="B128" s="64" t="str">
        <f ca="1">Main!K393</f>
        <v/>
      </c>
      <c r="C128" s="24" t="str">
        <f ca="1">IF(ISERROR(Main!V393),"",Main!V393)</f>
        <v/>
      </c>
      <c r="D128" s="24" t="str">
        <f ca="1">IF(ISERROR(Main!W393),"",Main!W393)</f>
        <v/>
      </c>
      <c r="E128" s="24" t="str">
        <f ca="1">IF(ISERROR(Main!X393),"",Main!X393)</f>
        <v/>
      </c>
      <c r="F128" s="24" t="str">
        <f ca="1">IF(ISERROR(Main!Y393),"",Main!Y393)</f>
        <v/>
      </c>
    </row>
    <row r="129" spans="2:6" x14ac:dyDescent="0.25">
      <c r="B129" s="64" t="str">
        <f ca="1">Main!K394</f>
        <v/>
      </c>
      <c r="C129" s="24" t="str">
        <f ca="1">IF(ISERROR(Main!V394),"",Main!V394)</f>
        <v/>
      </c>
      <c r="D129" s="24" t="str">
        <f ca="1">IF(ISERROR(Main!W394),"",Main!W394)</f>
        <v/>
      </c>
      <c r="E129" s="24" t="str">
        <f ca="1">IF(ISERROR(Main!X394),"",Main!X394)</f>
        <v/>
      </c>
      <c r="F129" s="24" t="str">
        <f ca="1">IF(ISERROR(Main!Y394),"",Main!Y394)</f>
        <v/>
      </c>
    </row>
    <row r="130" spans="2:6" x14ac:dyDescent="0.25">
      <c r="B130" s="64" t="str">
        <f ca="1">Main!K395</f>
        <v/>
      </c>
      <c r="C130" s="24" t="str">
        <f ca="1">IF(ISERROR(Main!V395),"",Main!V395)</f>
        <v/>
      </c>
      <c r="D130" s="24" t="str">
        <f ca="1">IF(ISERROR(Main!W395),"",Main!W395)</f>
        <v/>
      </c>
      <c r="E130" s="24" t="str">
        <f ca="1">IF(ISERROR(Main!X395),"",Main!X395)</f>
        <v/>
      </c>
      <c r="F130" s="24" t="str">
        <f ca="1">IF(ISERROR(Main!Y395),"",Main!Y395)</f>
        <v/>
      </c>
    </row>
    <row r="131" spans="2:6" x14ac:dyDescent="0.25">
      <c r="B131" s="64" t="str">
        <f ca="1">Main!K396</f>
        <v/>
      </c>
      <c r="C131" s="24" t="str">
        <f ca="1">IF(ISERROR(Main!V396),"",Main!V396)</f>
        <v/>
      </c>
      <c r="D131" s="24" t="str">
        <f ca="1">IF(ISERROR(Main!W396),"",Main!W396)</f>
        <v/>
      </c>
      <c r="E131" s="24" t="str">
        <f ca="1">IF(ISERROR(Main!X396),"",Main!X396)</f>
        <v/>
      </c>
      <c r="F131" s="24" t="str">
        <f ca="1">IF(ISERROR(Main!Y396),"",Main!Y396)</f>
        <v/>
      </c>
    </row>
    <row r="132" spans="2:6" x14ac:dyDescent="0.25">
      <c r="B132" s="64" t="str">
        <f ca="1">Main!K397</f>
        <v/>
      </c>
      <c r="C132" s="24" t="str">
        <f ca="1">IF(ISERROR(Main!V397),"",Main!V397)</f>
        <v/>
      </c>
      <c r="D132" s="24" t="str">
        <f ca="1">IF(ISERROR(Main!W397),"",Main!W397)</f>
        <v/>
      </c>
      <c r="E132" s="24" t="str">
        <f ca="1">IF(ISERROR(Main!X397),"",Main!X397)</f>
        <v/>
      </c>
      <c r="F132" s="24" t="str">
        <f ca="1">IF(ISERROR(Main!Y397),"",Main!Y397)</f>
        <v/>
      </c>
    </row>
    <row r="133" spans="2:6" x14ac:dyDescent="0.25">
      <c r="B133" s="64" t="str">
        <f ca="1">Main!K398</f>
        <v/>
      </c>
      <c r="C133" s="24" t="str">
        <f ca="1">IF(ISERROR(Main!V398),"",Main!V398)</f>
        <v/>
      </c>
      <c r="D133" s="24" t="str">
        <f ca="1">IF(ISERROR(Main!W398),"",Main!W398)</f>
        <v/>
      </c>
      <c r="E133" s="24" t="str">
        <f ca="1">IF(ISERROR(Main!X398),"",Main!X398)</f>
        <v/>
      </c>
      <c r="F133" s="24" t="str">
        <f ca="1">IF(ISERROR(Main!Y398),"",Main!Y398)</f>
        <v/>
      </c>
    </row>
    <row r="134" spans="2:6" x14ac:dyDescent="0.25">
      <c r="B134" s="64" t="str">
        <f ca="1">Main!K399</f>
        <v/>
      </c>
      <c r="C134" s="24">
        <f>IF(ISERROR(Main!V399),"",Main!V399)</f>
        <v>0</v>
      </c>
      <c r="D134" s="24">
        <f>IF(ISERROR(Main!W399),"",Main!W399)</f>
        <v>0</v>
      </c>
      <c r="E134" s="24">
        <f>IF(ISERROR(Main!X399),"",Main!X399)</f>
        <v>0</v>
      </c>
      <c r="F134" s="24">
        <f>IF(ISERROR(Main!Y399),"",Main!Y399)</f>
        <v>0</v>
      </c>
    </row>
    <row r="135" spans="2:6" ht="13" thickBot="1" x14ac:dyDescent="0.3">
      <c r="B135" s="65"/>
      <c r="C135" s="24">
        <f>IF(ISERROR(Main!R400),"",Main!R400)</f>
        <v>0</v>
      </c>
      <c r="D135" s="24">
        <f>IF(ISERROR(Main!S400),"",Main!S400)</f>
        <v>0</v>
      </c>
      <c r="E135" s="24">
        <f>IF(ISERROR(Main!T400),"",Main!T400)</f>
        <v>0</v>
      </c>
      <c r="F135" s="24">
        <f>IF(ISERROR(Main!U400),"",Main!U400)</f>
        <v>0</v>
      </c>
    </row>
    <row r="137" spans="2:6" x14ac:dyDescent="0.25">
      <c r="B137" s="24" t="s">
        <v>363</v>
      </c>
      <c r="C137" s="41" t="str">
        <f ca="1">Main!F401</f>
        <v/>
      </c>
    </row>
  </sheetData>
  <sheetProtection password="CE55" sheet="1" objects="1" scenarios="1"/>
  <mergeCells count="2">
    <mergeCell ref="A63:B63"/>
    <mergeCell ref="A82:B82"/>
  </mergeCells>
  <phoneticPr fontId="4" type="noConversion"/>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Z11"/>
  <sheetViews>
    <sheetView workbookViewId="0"/>
  </sheetViews>
  <sheetFormatPr defaultColWidth="9.1796875" defaultRowHeight="12.5" x14ac:dyDescent="0.25"/>
  <cols>
    <col min="1" max="16384" width="9.1796875" style="24"/>
  </cols>
  <sheetData>
    <row r="1" spans="1:26" x14ac:dyDescent="0.25">
      <c r="A1" s="24" t="s">
        <v>155</v>
      </c>
      <c r="B1" s="24">
        <v>1</v>
      </c>
      <c r="C1" s="24">
        <f t="shared" ref="C1:Z1" si="0">B1+1</f>
        <v>2</v>
      </c>
      <c r="D1" s="24">
        <f t="shared" si="0"/>
        <v>3</v>
      </c>
      <c r="E1" s="24">
        <f t="shared" si="0"/>
        <v>4</v>
      </c>
      <c r="F1" s="24">
        <f t="shared" si="0"/>
        <v>5</v>
      </c>
      <c r="G1" s="24">
        <f t="shared" si="0"/>
        <v>6</v>
      </c>
      <c r="H1" s="24">
        <f t="shared" si="0"/>
        <v>7</v>
      </c>
      <c r="I1" s="24">
        <f t="shared" si="0"/>
        <v>8</v>
      </c>
      <c r="J1" s="24">
        <f t="shared" si="0"/>
        <v>9</v>
      </c>
      <c r="K1" s="24">
        <f t="shared" si="0"/>
        <v>10</v>
      </c>
      <c r="L1" s="24">
        <f t="shared" si="0"/>
        <v>11</v>
      </c>
      <c r="M1" s="24">
        <f t="shared" si="0"/>
        <v>12</v>
      </c>
      <c r="N1" s="24">
        <f t="shared" si="0"/>
        <v>13</v>
      </c>
      <c r="O1" s="24">
        <f t="shared" si="0"/>
        <v>14</v>
      </c>
      <c r="P1" s="24">
        <f t="shared" si="0"/>
        <v>15</v>
      </c>
      <c r="Q1" s="24">
        <f t="shared" si="0"/>
        <v>16</v>
      </c>
      <c r="R1" s="24">
        <f t="shared" si="0"/>
        <v>17</v>
      </c>
      <c r="S1" s="24">
        <f t="shared" si="0"/>
        <v>18</v>
      </c>
      <c r="T1" s="24">
        <f t="shared" si="0"/>
        <v>19</v>
      </c>
      <c r="U1" s="24">
        <f t="shared" si="0"/>
        <v>20</v>
      </c>
      <c r="V1" s="24">
        <f t="shared" si="0"/>
        <v>21</v>
      </c>
      <c r="W1" s="24">
        <f t="shared" si="0"/>
        <v>22</v>
      </c>
      <c r="X1" s="24">
        <f t="shared" si="0"/>
        <v>23</v>
      </c>
      <c r="Y1" s="24">
        <f t="shared" si="0"/>
        <v>24</v>
      </c>
      <c r="Z1" s="24">
        <f t="shared" si="0"/>
        <v>25</v>
      </c>
    </row>
    <row r="2" spans="1:26" x14ac:dyDescent="0.25">
      <c r="A2" s="24" t="s">
        <v>152</v>
      </c>
      <c r="B2" s="24">
        <f>Main!C28</f>
        <v>2020</v>
      </c>
      <c r="C2" s="24">
        <f t="shared" ref="C2:Z2" si="1">B2+1</f>
        <v>2021</v>
      </c>
      <c r="D2" s="24">
        <f t="shared" si="1"/>
        <v>2022</v>
      </c>
      <c r="E2" s="41">
        <f t="shared" si="1"/>
        <v>2023</v>
      </c>
      <c r="F2" s="41">
        <f t="shared" si="1"/>
        <v>2024</v>
      </c>
      <c r="G2" s="41">
        <f t="shared" si="1"/>
        <v>2025</v>
      </c>
      <c r="H2" s="41">
        <f t="shared" si="1"/>
        <v>2026</v>
      </c>
      <c r="I2" s="24">
        <f t="shared" si="1"/>
        <v>2027</v>
      </c>
      <c r="J2" s="24">
        <f t="shared" si="1"/>
        <v>2028</v>
      </c>
      <c r="K2" s="24">
        <f t="shared" si="1"/>
        <v>2029</v>
      </c>
      <c r="L2" s="24">
        <f t="shared" si="1"/>
        <v>2030</v>
      </c>
      <c r="M2" s="24">
        <f t="shared" si="1"/>
        <v>2031</v>
      </c>
      <c r="N2" s="24">
        <f t="shared" si="1"/>
        <v>2032</v>
      </c>
      <c r="O2" s="24">
        <f t="shared" si="1"/>
        <v>2033</v>
      </c>
      <c r="P2" s="24">
        <f t="shared" si="1"/>
        <v>2034</v>
      </c>
      <c r="Q2" s="24">
        <f t="shared" si="1"/>
        <v>2035</v>
      </c>
      <c r="R2" s="24">
        <f t="shared" si="1"/>
        <v>2036</v>
      </c>
      <c r="S2" s="24">
        <f t="shared" si="1"/>
        <v>2037</v>
      </c>
      <c r="T2" s="24">
        <f t="shared" si="1"/>
        <v>2038</v>
      </c>
      <c r="U2" s="24">
        <f t="shared" si="1"/>
        <v>2039</v>
      </c>
      <c r="V2" s="24">
        <f t="shared" si="1"/>
        <v>2040</v>
      </c>
      <c r="W2" s="24">
        <f t="shared" si="1"/>
        <v>2041</v>
      </c>
      <c r="X2" s="24">
        <f t="shared" si="1"/>
        <v>2042</v>
      </c>
      <c r="Y2" s="24">
        <f t="shared" si="1"/>
        <v>2043</v>
      </c>
      <c r="Z2" s="24">
        <f t="shared" si="1"/>
        <v>2044</v>
      </c>
    </row>
    <row r="3" spans="1:26" x14ac:dyDescent="0.25">
      <c r="A3" s="24" t="s">
        <v>153</v>
      </c>
      <c r="B3" s="42">
        <f ca="1">OFFSET(INDIRECT(varies_parameter),0,1+B2-$B$2)</f>
        <v>0.5</v>
      </c>
      <c r="C3" s="43">
        <f t="shared" ref="C3:Z3" ca="1" si="2">IF(C2-$B$2&gt;=chart_points,B3,OFFSET(INDIRECT(varies_parameter),0,1+C2-$B$2))</f>
        <v>0.5</v>
      </c>
      <c r="D3" s="43">
        <f t="shared" ca="1" si="2"/>
        <v>0.5</v>
      </c>
      <c r="E3" s="43">
        <f t="shared" ca="1" si="2"/>
        <v>0.3666666666666667</v>
      </c>
      <c r="F3" s="43">
        <f t="shared" ca="1" si="2"/>
        <v>0.23333333333333334</v>
      </c>
      <c r="G3" s="43">
        <f t="shared" ca="1" si="2"/>
        <v>9.9999999999999922E-2</v>
      </c>
      <c r="H3" s="43">
        <f t="shared" ca="1" si="2"/>
        <v>9.9999999999999922E-2</v>
      </c>
      <c r="I3" s="43">
        <f t="shared" ca="1" si="2"/>
        <v>9.9999999999999922E-2</v>
      </c>
      <c r="J3" s="43">
        <f t="shared" ca="1" si="2"/>
        <v>9.9999999999999922E-2</v>
      </c>
      <c r="K3" s="43">
        <f t="shared" ca="1" si="2"/>
        <v>9.9999999999999922E-2</v>
      </c>
      <c r="L3" s="43">
        <f t="shared" ca="1" si="2"/>
        <v>9.9999999999999922E-2</v>
      </c>
      <c r="M3" s="43">
        <f t="shared" ca="1" si="2"/>
        <v>9.9999999999999922E-2</v>
      </c>
      <c r="N3" s="43">
        <f t="shared" ca="1" si="2"/>
        <v>9.9999999999999922E-2</v>
      </c>
      <c r="O3" s="43">
        <f t="shared" ca="1" si="2"/>
        <v>9.9999999999999922E-2</v>
      </c>
      <c r="P3" s="43">
        <f t="shared" ca="1" si="2"/>
        <v>9.9999999999999922E-2</v>
      </c>
      <c r="Q3" s="43">
        <f t="shared" ca="1" si="2"/>
        <v>9.9999999999999922E-2</v>
      </c>
      <c r="R3" s="43">
        <f t="shared" ca="1" si="2"/>
        <v>9.9999999999999922E-2</v>
      </c>
      <c r="S3" s="43">
        <f t="shared" ca="1" si="2"/>
        <v>9.9999999999999922E-2</v>
      </c>
      <c r="T3" s="43">
        <f t="shared" ca="1" si="2"/>
        <v>9.9999999999999922E-2</v>
      </c>
      <c r="U3" s="43">
        <f t="shared" ca="1" si="2"/>
        <v>9.9999999999999922E-2</v>
      </c>
      <c r="V3" s="43">
        <f t="shared" ca="1" si="2"/>
        <v>9.9999999999999922E-2</v>
      </c>
      <c r="W3" s="43">
        <f t="shared" ca="1" si="2"/>
        <v>9.9999999999999922E-2</v>
      </c>
      <c r="X3" s="43">
        <f t="shared" ca="1" si="2"/>
        <v>9.9999999999999922E-2</v>
      </c>
      <c r="Y3" s="43">
        <f t="shared" ca="1" si="2"/>
        <v>9.9999999999999922E-2</v>
      </c>
      <c r="Z3" s="43">
        <f t="shared" ca="1" si="2"/>
        <v>9.9999999999999922E-2</v>
      </c>
    </row>
    <row r="4" spans="1:26" x14ac:dyDescent="0.25">
      <c r="A4" s="24" t="s">
        <v>156</v>
      </c>
      <c r="B4" s="42">
        <f ca="1">INDIRECT(varies_parameter&amp;"_phase_1")</f>
        <v>0.5</v>
      </c>
      <c r="C4" s="43"/>
      <c r="D4" s="43"/>
      <c r="E4" s="43"/>
      <c r="F4" s="43"/>
      <c r="G4" s="43"/>
      <c r="H4" s="43"/>
      <c r="I4" s="43"/>
      <c r="J4" s="43"/>
      <c r="K4" s="43"/>
      <c r="L4" s="43"/>
      <c r="M4" s="43"/>
      <c r="N4" s="43"/>
      <c r="O4" s="43"/>
      <c r="P4" s="43"/>
      <c r="Q4" s="43"/>
      <c r="R4" s="43"/>
      <c r="S4" s="43"/>
      <c r="T4" s="43"/>
      <c r="U4" s="43"/>
      <c r="V4" s="43"/>
      <c r="W4" s="43"/>
      <c r="X4" s="43"/>
      <c r="Y4" s="43"/>
      <c r="Z4" s="43"/>
    </row>
    <row r="5" spans="1:26" x14ac:dyDescent="0.25">
      <c r="A5" s="24" t="s">
        <v>157</v>
      </c>
      <c r="B5" s="42">
        <f ca="1">INDIRECT(varies_parameter&amp;"_phase_2")</f>
        <v>0.1</v>
      </c>
      <c r="C5" s="43"/>
      <c r="D5" s="43"/>
      <c r="E5" s="43"/>
      <c r="F5" s="43"/>
      <c r="G5" s="43"/>
      <c r="H5" s="43"/>
      <c r="I5" s="43"/>
      <c r="J5" s="43"/>
      <c r="K5" s="43"/>
      <c r="L5" s="43"/>
      <c r="M5" s="43"/>
      <c r="N5" s="43"/>
      <c r="O5" s="43"/>
      <c r="P5" s="43"/>
      <c r="Q5" s="43"/>
      <c r="R5" s="43"/>
      <c r="S5" s="43"/>
      <c r="T5" s="43"/>
      <c r="U5" s="43"/>
      <c r="V5" s="43"/>
      <c r="W5" s="43"/>
      <c r="X5" s="43"/>
      <c r="Y5" s="43"/>
      <c r="Z5" s="43"/>
    </row>
    <row r="6" spans="1:26" x14ac:dyDescent="0.25">
      <c r="A6" s="24" t="s">
        <v>159</v>
      </c>
      <c r="B6" s="42">
        <f ca="1">OFFSET(assumptions_vary_x_axis,11,0,1,1)</f>
        <v>1.1000103791611764</v>
      </c>
      <c r="C6" s="43"/>
      <c r="D6" s="43"/>
      <c r="E6" s="43"/>
      <c r="F6" s="43"/>
      <c r="G6" s="43"/>
      <c r="H6" s="43"/>
      <c r="I6" s="43"/>
      <c r="J6" s="43"/>
      <c r="K6" s="43"/>
      <c r="L6" s="43"/>
      <c r="M6" s="43"/>
      <c r="N6" s="43"/>
      <c r="O6" s="43"/>
      <c r="P6" s="43"/>
      <c r="Q6" s="43"/>
      <c r="R6" s="43"/>
      <c r="S6" s="43"/>
      <c r="T6" s="43"/>
      <c r="U6" s="43"/>
      <c r="V6" s="43"/>
      <c r="W6" s="43"/>
      <c r="X6" s="43"/>
      <c r="Y6" s="43"/>
      <c r="Z6" s="43"/>
    </row>
    <row r="7" spans="1:26" x14ac:dyDescent="0.25">
      <c r="A7" s="24" t="s">
        <v>160</v>
      </c>
      <c r="B7" s="42">
        <f ca="1">OFFSET(assumptions_vary_x_axis,0,0,1,1)</f>
        <v>1.0379157174611464E-5</v>
      </c>
      <c r="C7" s="43"/>
      <c r="D7" s="43"/>
      <c r="E7" s="43"/>
      <c r="F7" s="43"/>
      <c r="G7" s="43"/>
      <c r="H7" s="43"/>
      <c r="I7" s="43"/>
      <c r="J7" s="43"/>
      <c r="K7" s="43"/>
      <c r="L7" s="43"/>
      <c r="M7" s="43"/>
      <c r="N7" s="43"/>
      <c r="O7" s="43"/>
      <c r="P7" s="43"/>
      <c r="Q7" s="43"/>
      <c r="R7" s="43"/>
      <c r="S7" s="43"/>
      <c r="T7" s="43"/>
      <c r="U7" s="43"/>
      <c r="V7" s="43"/>
      <c r="W7" s="43"/>
      <c r="X7" s="43"/>
      <c r="Y7" s="43"/>
      <c r="Z7" s="43"/>
    </row>
    <row r="8" spans="1:26" x14ac:dyDescent="0.25">
      <c r="A8" s="24" t="s">
        <v>154</v>
      </c>
      <c r="B8" s="44">
        <f t="shared" ref="B8:Z8" ca="1" si="3">IF(fade=0,$B$6,IF(sens_switch_de=1,IF(B$1&lt;=phase_1_length,$B6,IF(B$1&gt;chart_points,0,$B6-(B$1-phase_1_length)*($B6-$B$5)/fade)),$B$4))</f>
        <v>1.1000103791611764</v>
      </c>
      <c r="C8" s="44">
        <f t="shared" ca="1" si="3"/>
        <v>1.1000103791611764</v>
      </c>
      <c r="D8" s="44">
        <f t="shared" ca="1" si="3"/>
        <v>1.1000103791611764</v>
      </c>
      <c r="E8" s="44">
        <f t="shared" ca="1" si="3"/>
        <v>0.76667358610745096</v>
      </c>
      <c r="F8" s="44">
        <f t="shared" ca="1" si="3"/>
        <v>0.43333679305372552</v>
      </c>
      <c r="G8" s="44">
        <f t="shared" ca="1" si="3"/>
        <v>0.10000000000000009</v>
      </c>
      <c r="H8" s="44">
        <f t="shared" si="3"/>
        <v>0</v>
      </c>
      <c r="I8" s="44">
        <f t="shared" si="3"/>
        <v>0</v>
      </c>
      <c r="J8" s="44">
        <f t="shared" si="3"/>
        <v>0</v>
      </c>
      <c r="K8" s="44">
        <f t="shared" si="3"/>
        <v>0</v>
      </c>
      <c r="L8" s="44">
        <f t="shared" si="3"/>
        <v>0</v>
      </c>
      <c r="M8" s="44">
        <f t="shared" si="3"/>
        <v>0</v>
      </c>
      <c r="N8" s="44">
        <f t="shared" si="3"/>
        <v>0</v>
      </c>
      <c r="O8" s="44">
        <f t="shared" si="3"/>
        <v>0</v>
      </c>
      <c r="P8" s="44">
        <f t="shared" si="3"/>
        <v>0</v>
      </c>
      <c r="Q8" s="44">
        <f t="shared" si="3"/>
        <v>0</v>
      </c>
      <c r="R8" s="44">
        <f t="shared" si="3"/>
        <v>0</v>
      </c>
      <c r="S8" s="44">
        <f t="shared" si="3"/>
        <v>0</v>
      </c>
      <c r="T8" s="44">
        <f t="shared" si="3"/>
        <v>0</v>
      </c>
      <c r="U8" s="44">
        <f t="shared" si="3"/>
        <v>0</v>
      </c>
      <c r="V8" s="44">
        <f t="shared" si="3"/>
        <v>0</v>
      </c>
      <c r="W8" s="44">
        <f t="shared" si="3"/>
        <v>0</v>
      </c>
      <c r="X8" s="44">
        <f t="shared" si="3"/>
        <v>0</v>
      </c>
      <c r="Y8" s="44">
        <f t="shared" si="3"/>
        <v>0</v>
      </c>
      <c r="Z8" s="44">
        <f t="shared" si="3"/>
        <v>0</v>
      </c>
    </row>
    <row r="9" spans="1:26" x14ac:dyDescent="0.25">
      <c r="A9" s="24" t="s">
        <v>158</v>
      </c>
      <c r="B9" s="44">
        <f t="shared" ref="B9:Z9" ca="1" si="4">IF(fade=0,$B$7,IF(sens_switch_de=1,IF(B$1&lt;=phase_1_length,$B7,IF(B$1&gt;chart_points,0,$B7-(B$1-phase_1_length)*($B7-$B$5)/fade)),$B$4))</f>
        <v>1.0379157174611464E-5</v>
      </c>
      <c r="C9" s="44">
        <f t="shared" ca="1" si="4"/>
        <v>1.0379157174611464E-5</v>
      </c>
      <c r="D9" s="44">
        <f t="shared" ca="1" si="4"/>
        <v>1.0379157174611464E-5</v>
      </c>
      <c r="E9" s="44">
        <f t="shared" ca="1" si="4"/>
        <v>3.3340252771449745E-2</v>
      </c>
      <c r="F9" s="44">
        <f t="shared" ca="1" si="4"/>
        <v>6.6670126385724879E-2</v>
      </c>
      <c r="G9" s="44">
        <f t="shared" ca="1" si="4"/>
        <v>0.10000000000000002</v>
      </c>
      <c r="H9" s="44">
        <f t="shared" si="4"/>
        <v>0</v>
      </c>
      <c r="I9" s="44">
        <f t="shared" si="4"/>
        <v>0</v>
      </c>
      <c r="J9" s="44">
        <f t="shared" si="4"/>
        <v>0</v>
      </c>
      <c r="K9" s="44">
        <f t="shared" si="4"/>
        <v>0</v>
      </c>
      <c r="L9" s="44">
        <f t="shared" si="4"/>
        <v>0</v>
      </c>
      <c r="M9" s="44">
        <f t="shared" si="4"/>
        <v>0</v>
      </c>
      <c r="N9" s="44">
        <f t="shared" si="4"/>
        <v>0</v>
      </c>
      <c r="O9" s="44">
        <f t="shared" si="4"/>
        <v>0</v>
      </c>
      <c r="P9" s="44">
        <f t="shared" si="4"/>
        <v>0</v>
      </c>
      <c r="Q9" s="44">
        <f t="shared" si="4"/>
        <v>0</v>
      </c>
      <c r="R9" s="44">
        <f t="shared" si="4"/>
        <v>0</v>
      </c>
      <c r="S9" s="44">
        <f t="shared" si="4"/>
        <v>0</v>
      </c>
      <c r="T9" s="44">
        <f t="shared" si="4"/>
        <v>0</v>
      </c>
      <c r="U9" s="44">
        <f t="shared" si="4"/>
        <v>0</v>
      </c>
      <c r="V9" s="44">
        <f t="shared" si="4"/>
        <v>0</v>
      </c>
      <c r="W9" s="44">
        <f t="shared" si="4"/>
        <v>0</v>
      </c>
      <c r="X9" s="44">
        <f t="shared" si="4"/>
        <v>0</v>
      </c>
      <c r="Y9" s="44">
        <f t="shared" si="4"/>
        <v>0</v>
      </c>
      <c r="Z9" s="44">
        <f t="shared" si="4"/>
        <v>0</v>
      </c>
    </row>
    <row r="10" spans="1:26" x14ac:dyDescent="0.25">
      <c r="A10" s="24" t="s">
        <v>161</v>
      </c>
      <c r="B10" s="44">
        <f t="shared" ref="B10:Z10" si="5">IF(fade=0,$B$6,IF(B$1&gt;=phase_1_length,IF(B$1&gt;chart_points,$B6,$B$4+($B6-$B$4)/fade*(B$1-phase_1_length)),0))</f>
        <v>0</v>
      </c>
      <c r="C10" s="44">
        <f t="shared" si="5"/>
        <v>0</v>
      </c>
      <c r="D10" s="44">
        <f t="shared" ca="1" si="5"/>
        <v>0.5</v>
      </c>
      <c r="E10" s="44">
        <f t="shared" ca="1" si="5"/>
        <v>0.70000345972039213</v>
      </c>
      <c r="F10" s="44">
        <f t="shared" ca="1" si="5"/>
        <v>0.90000691944078426</v>
      </c>
      <c r="G10" s="44">
        <f t="shared" ca="1" si="5"/>
        <v>1.1000103791611764</v>
      </c>
      <c r="H10" s="44">
        <f t="shared" ca="1" si="5"/>
        <v>1.1000103791611764</v>
      </c>
      <c r="I10" s="44">
        <f t="shared" ca="1" si="5"/>
        <v>1.1000103791611764</v>
      </c>
      <c r="J10" s="44">
        <f t="shared" ca="1" si="5"/>
        <v>1.1000103791611764</v>
      </c>
      <c r="K10" s="44">
        <f t="shared" ca="1" si="5"/>
        <v>1.1000103791611764</v>
      </c>
      <c r="L10" s="44">
        <f t="shared" ca="1" si="5"/>
        <v>1.1000103791611764</v>
      </c>
      <c r="M10" s="44">
        <f t="shared" ca="1" si="5"/>
        <v>1.1000103791611764</v>
      </c>
      <c r="N10" s="44">
        <f t="shared" ca="1" si="5"/>
        <v>1.1000103791611764</v>
      </c>
      <c r="O10" s="44">
        <f t="shared" ca="1" si="5"/>
        <v>1.1000103791611764</v>
      </c>
      <c r="P10" s="44">
        <f t="shared" ca="1" si="5"/>
        <v>1.1000103791611764</v>
      </c>
      <c r="Q10" s="44">
        <f t="shared" ca="1" si="5"/>
        <v>1.1000103791611764</v>
      </c>
      <c r="R10" s="44">
        <f t="shared" ca="1" si="5"/>
        <v>1.1000103791611764</v>
      </c>
      <c r="S10" s="44">
        <f t="shared" ca="1" si="5"/>
        <v>1.1000103791611764</v>
      </c>
      <c r="T10" s="44">
        <f t="shared" ca="1" si="5"/>
        <v>1.1000103791611764</v>
      </c>
      <c r="U10" s="44">
        <f t="shared" ca="1" si="5"/>
        <v>1.1000103791611764</v>
      </c>
      <c r="V10" s="44">
        <f t="shared" ca="1" si="5"/>
        <v>1.1000103791611764</v>
      </c>
      <c r="W10" s="44">
        <f t="shared" ca="1" si="5"/>
        <v>1.1000103791611764</v>
      </c>
      <c r="X10" s="44">
        <f t="shared" ca="1" si="5"/>
        <v>1.1000103791611764</v>
      </c>
      <c r="Y10" s="44">
        <f t="shared" ca="1" si="5"/>
        <v>1.1000103791611764</v>
      </c>
      <c r="Z10" s="44">
        <f t="shared" ca="1" si="5"/>
        <v>1.1000103791611764</v>
      </c>
    </row>
    <row r="11" spans="1:26" x14ac:dyDescent="0.25">
      <c r="A11" s="24" t="s">
        <v>162</v>
      </c>
      <c r="B11" s="44">
        <f t="shared" ref="B11:Z11" si="6">IF(fade=0,$B$7,IF(B$1&gt;=phase_1_length,IF(B$1&gt;chart_points,$B7,$B$4+($B7-$B$4)/fade*(B$1-phase_1_length)),0))</f>
        <v>0</v>
      </c>
      <c r="C11" s="44">
        <f t="shared" si="6"/>
        <v>0</v>
      </c>
      <c r="D11" s="44">
        <f t="shared" ca="1" si="6"/>
        <v>0.5</v>
      </c>
      <c r="E11" s="44">
        <f t="shared" ca="1" si="6"/>
        <v>0.3333367930523915</v>
      </c>
      <c r="F11" s="44">
        <f t="shared" ca="1" si="6"/>
        <v>0.16667358610478306</v>
      </c>
      <c r="G11" s="45">
        <f t="shared" ca="1" si="6"/>
        <v>1.0379157174611464E-5</v>
      </c>
      <c r="H11" s="44">
        <f t="shared" ca="1" si="6"/>
        <v>1.0379157174611464E-5</v>
      </c>
      <c r="I11" s="44">
        <f t="shared" ca="1" si="6"/>
        <v>1.0379157174611464E-5</v>
      </c>
      <c r="J11" s="44">
        <f t="shared" ca="1" si="6"/>
        <v>1.0379157174611464E-5</v>
      </c>
      <c r="K11" s="44">
        <f t="shared" ca="1" si="6"/>
        <v>1.0379157174611464E-5</v>
      </c>
      <c r="L11" s="44">
        <f t="shared" ca="1" si="6"/>
        <v>1.0379157174611464E-5</v>
      </c>
      <c r="M11" s="44">
        <f t="shared" ca="1" si="6"/>
        <v>1.0379157174611464E-5</v>
      </c>
      <c r="N11" s="44">
        <f t="shared" ca="1" si="6"/>
        <v>1.0379157174611464E-5</v>
      </c>
      <c r="O11" s="44">
        <f t="shared" ca="1" si="6"/>
        <v>1.0379157174611464E-5</v>
      </c>
      <c r="P11" s="44">
        <f t="shared" ca="1" si="6"/>
        <v>1.0379157174611464E-5</v>
      </c>
      <c r="Q11" s="44">
        <f t="shared" ca="1" si="6"/>
        <v>1.0379157174611464E-5</v>
      </c>
      <c r="R11" s="44">
        <f t="shared" ca="1" si="6"/>
        <v>1.0379157174611464E-5</v>
      </c>
      <c r="S11" s="44">
        <f t="shared" ca="1" si="6"/>
        <v>1.0379157174611464E-5</v>
      </c>
      <c r="T11" s="44">
        <f t="shared" ca="1" si="6"/>
        <v>1.0379157174611464E-5</v>
      </c>
      <c r="U11" s="44">
        <f t="shared" ca="1" si="6"/>
        <v>1.0379157174611464E-5</v>
      </c>
      <c r="V11" s="44">
        <f t="shared" ca="1" si="6"/>
        <v>1.0379157174611464E-5</v>
      </c>
      <c r="W11" s="44">
        <f t="shared" ca="1" si="6"/>
        <v>1.0379157174611464E-5</v>
      </c>
      <c r="X11" s="44">
        <f t="shared" ca="1" si="6"/>
        <v>1.0379157174611464E-5</v>
      </c>
      <c r="Y11" s="44">
        <f t="shared" ca="1" si="6"/>
        <v>1.0379157174611464E-5</v>
      </c>
      <c r="Z11" s="44">
        <f t="shared" ca="1" si="6"/>
        <v>1.0379157174611464E-5</v>
      </c>
    </row>
  </sheetData>
  <sheetProtection password="CE55" sheet="1" objects="1" scenarios="1"/>
  <phoneticPr fontId="4"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22"/>
  <sheetViews>
    <sheetView workbookViewId="0"/>
  </sheetViews>
  <sheetFormatPr defaultColWidth="9.1796875" defaultRowHeight="12.5" x14ac:dyDescent="0.25"/>
  <cols>
    <col min="1" max="1" width="19.54296875" style="27" customWidth="1"/>
    <col min="2" max="2" width="36.453125" style="24" customWidth="1"/>
    <col min="3" max="3" width="9.1796875" style="24"/>
    <col min="4" max="4" width="9.1796875" style="3"/>
    <col min="5" max="5" width="19.7265625" style="3" customWidth="1"/>
    <col min="6" max="6" width="27" style="3" customWidth="1"/>
    <col min="7" max="7" width="9.1796875" style="3"/>
    <col min="8" max="16384" width="9.1796875" style="24"/>
  </cols>
  <sheetData>
    <row r="1" spans="1:6" x14ac:dyDescent="0.25">
      <c r="A1" s="27" t="s">
        <v>108</v>
      </c>
      <c r="B1" s="24">
        <v>9.9999999999999994E-12</v>
      </c>
    </row>
    <row r="2" spans="1:6" x14ac:dyDescent="0.25">
      <c r="A2" s="27" t="s">
        <v>23</v>
      </c>
      <c r="B2" s="24" t="s">
        <v>23</v>
      </c>
    </row>
    <row r="3" spans="1:6" x14ac:dyDescent="0.25">
      <c r="A3" s="31" t="s">
        <v>79</v>
      </c>
      <c r="B3" s="24" t="s">
        <v>80</v>
      </c>
    </row>
    <row r="4" spans="1:6" x14ac:dyDescent="0.25">
      <c r="A4" s="27" t="s">
        <v>109</v>
      </c>
      <c r="B4" s="24">
        <v>-10000</v>
      </c>
    </row>
    <row r="5" spans="1:6" ht="27.75" customHeight="1" x14ac:dyDescent="0.25">
      <c r="A5" s="27" t="s">
        <v>111</v>
      </c>
      <c r="B5" s="437" t="s">
        <v>112</v>
      </c>
      <c r="C5" s="437"/>
      <c r="D5" s="437"/>
      <c r="E5" s="437"/>
      <c r="F5" s="437"/>
    </row>
    <row r="6" spans="1:6" ht="13" thickBot="1" x14ac:dyDescent="0.3">
      <c r="A6" s="27" t="s">
        <v>110</v>
      </c>
    </row>
    <row r="7" spans="1:6" ht="13" thickBot="1" x14ac:dyDescent="0.3">
      <c r="B7" s="46" t="str">
        <f>initial</f>
        <v>initial</v>
      </c>
    </row>
    <row r="8" spans="1:6" x14ac:dyDescent="0.25">
      <c r="B8" s="46" t="str">
        <f>final</f>
        <v>terminal</v>
      </c>
    </row>
    <row r="10" spans="1:6" x14ac:dyDescent="0.25">
      <c r="A10" s="27" t="s">
        <v>113</v>
      </c>
      <c r="B10" s="24" t="s">
        <v>113</v>
      </c>
    </row>
    <row r="11" spans="1:6" x14ac:dyDescent="0.25">
      <c r="A11" s="27" t="s">
        <v>114</v>
      </c>
      <c r="B11" s="24" t="s">
        <v>163</v>
      </c>
    </row>
    <row r="12" spans="1:6" x14ac:dyDescent="0.25">
      <c r="A12" s="27" t="s">
        <v>121</v>
      </c>
      <c r="B12" s="47">
        <f>1%+magic_number</f>
        <v>1.0010379156281449E-2</v>
      </c>
      <c r="F12" s="48">
        <v>2</v>
      </c>
    </row>
    <row r="13" spans="1:6" x14ac:dyDescent="0.25">
      <c r="A13" s="27" t="s">
        <v>174</v>
      </c>
      <c r="B13" s="24">
        <v>0.08</v>
      </c>
    </row>
    <row r="14" spans="1:6" x14ac:dyDescent="0.25">
      <c r="A14" s="27" t="s">
        <v>228</v>
      </c>
      <c r="B14" s="47">
        <v>1.037915628145E-5</v>
      </c>
      <c r="C14" s="24" t="s">
        <v>229</v>
      </c>
    </row>
    <row r="15" spans="1:6" x14ac:dyDescent="0.25">
      <c r="C15" s="24" t="s">
        <v>230</v>
      </c>
    </row>
    <row r="16" spans="1:6" x14ac:dyDescent="0.25">
      <c r="A16" s="27" t="s">
        <v>251</v>
      </c>
      <c r="B16" s="24">
        <v>1</v>
      </c>
    </row>
    <row r="17" spans="1:2" x14ac:dyDescent="0.25">
      <c r="A17" s="27" t="s">
        <v>252</v>
      </c>
      <c r="B17" s="24">
        <v>1</v>
      </c>
    </row>
    <row r="19" spans="1:2" x14ac:dyDescent="0.25">
      <c r="A19" s="27" t="s">
        <v>254</v>
      </c>
      <c r="B19" s="24" t="s">
        <v>255</v>
      </c>
    </row>
    <row r="20" spans="1:2" x14ac:dyDescent="0.25">
      <c r="A20" s="27" t="s">
        <v>257</v>
      </c>
      <c r="B20" s="24" t="s">
        <v>256</v>
      </c>
    </row>
    <row r="21" spans="1:2" x14ac:dyDescent="0.25">
      <c r="A21" s="27" t="s">
        <v>264</v>
      </c>
      <c r="B21" s="24" t="s">
        <v>265</v>
      </c>
    </row>
    <row r="22" spans="1:2" x14ac:dyDescent="0.25">
      <c r="A22" s="27" t="s">
        <v>266</v>
      </c>
      <c r="B22" s="24" t="s">
        <v>267</v>
      </c>
    </row>
  </sheetData>
  <sheetProtection sheet="1" objects="1" scenarios="1"/>
  <mergeCells count="1">
    <mergeCell ref="B5:F5"/>
  </mergeCells>
  <phoneticPr fontId="4"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254</vt:i4>
      </vt:variant>
    </vt:vector>
  </HeadingPairs>
  <TitlesOfParts>
    <vt:vector size="262" baseType="lpstr">
      <vt:lpstr>Introduction</vt:lpstr>
      <vt:lpstr>Main</vt:lpstr>
      <vt:lpstr>Time varies</vt:lpstr>
      <vt:lpstr>Assumptions vary</vt:lpstr>
      <vt:lpstr>Sensitivities</vt:lpstr>
      <vt:lpstr>Attribution</vt:lpstr>
      <vt:lpstr>Charts</vt:lpstr>
      <vt:lpstr>Names</vt:lpstr>
      <vt:lpstr>assumptions_vary_error_msg</vt:lpstr>
      <vt:lpstr>assumptions_vary_parameter</vt:lpstr>
      <vt:lpstr>assumptions_vary_x_axis</vt:lpstr>
      <vt:lpstr>attribution_index</vt:lpstr>
      <vt:lpstr>base_year</vt:lpstr>
      <vt:lpstr>chart_assumptions_choices</vt:lpstr>
      <vt:lpstr>chart_attrib_area</vt:lpstr>
      <vt:lpstr>chart_attribution_choices</vt:lpstr>
      <vt:lpstr>chart_custom_1_area</vt:lpstr>
      <vt:lpstr>chart_custom_choices</vt:lpstr>
      <vt:lpstr>chart_dates_start</vt:lpstr>
      <vt:lpstr>chart_gen_model_1_area</vt:lpstr>
      <vt:lpstr>chart_gen_model_2_area</vt:lpstr>
      <vt:lpstr>chart_gen_model_3_area</vt:lpstr>
      <vt:lpstr>chart_gen_model_4_area</vt:lpstr>
      <vt:lpstr>chart_growth_1_area</vt:lpstr>
      <vt:lpstr>chart_growth_2_area</vt:lpstr>
      <vt:lpstr>chart_growth_3_area</vt:lpstr>
      <vt:lpstr>chart_growth_4_area</vt:lpstr>
      <vt:lpstr>chart_growth_5_area</vt:lpstr>
      <vt:lpstr>chart_growth_6_area</vt:lpstr>
      <vt:lpstr>chart_growth_7_area</vt:lpstr>
      <vt:lpstr>chart_percentage_choices</vt:lpstr>
      <vt:lpstr>chart_points</vt:lpstr>
      <vt:lpstr>chart_ratios_choices</vt:lpstr>
      <vt:lpstr>chart_sens_1_area</vt:lpstr>
      <vt:lpstr>chart_sens_2_area</vt:lpstr>
      <vt:lpstr>chart_sensitivity_choices</vt:lpstr>
      <vt:lpstr>chart_values_choices</vt:lpstr>
      <vt:lpstr>chartable_items</vt:lpstr>
      <vt:lpstr>charts_percentage_items</vt:lpstr>
      <vt:lpstr>charts_ratio_items</vt:lpstr>
      <vt:lpstr>charts_value_items</vt:lpstr>
      <vt:lpstr>col_offset</vt:lpstr>
      <vt:lpstr>column_chart_choices</vt:lpstr>
      <vt:lpstr>column_chart_items</vt:lpstr>
      <vt:lpstr>comment</vt:lpstr>
      <vt:lpstr>custom_column_1</vt:lpstr>
      <vt:lpstr>custom_column_2</vt:lpstr>
      <vt:lpstr>custom_column_3</vt:lpstr>
      <vt:lpstr>custom_ghost_column</vt:lpstr>
      <vt:lpstr>data_start_column</vt:lpstr>
      <vt:lpstr>dt_threshold</vt:lpstr>
      <vt:lpstr>epsilon</vt:lpstr>
      <vt:lpstr>error_row</vt:lpstr>
      <vt:lpstr>fade</vt:lpstr>
      <vt:lpstr>fade_zero_message</vt:lpstr>
      <vt:lpstr>final</vt:lpstr>
      <vt:lpstr>hyper_base_year</vt:lpstr>
      <vt:lpstr>hyper_depn_rate</vt:lpstr>
      <vt:lpstr>hyper_depn_rate2</vt:lpstr>
      <vt:lpstr>hyper_fade</vt:lpstr>
      <vt:lpstr>hyper_first_phase</vt:lpstr>
      <vt:lpstr>hyper_growth</vt:lpstr>
      <vt:lpstr>hyper_growth2</vt:lpstr>
      <vt:lpstr>hyper_interest_margin</vt:lpstr>
      <vt:lpstr>hyper_introduction</vt:lpstr>
      <vt:lpstr>hyper_leverage</vt:lpstr>
      <vt:lpstr>hyper_leverage2</vt:lpstr>
      <vt:lpstr>hyper_opening_assets</vt:lpstr>
      <vt:lpstr>hyper_opening_assets2</vt:lpstr>
      <vt:lpstr>hyper_phase</vt:lpstr>
      <vt:lpstr>hyper_risk_free_rate</vt:lpstr>
      <vt:lpstr>hyper_risk_free_rate2</vt:lpstr>
      <vt:lpstr>hyper_roc</vt:lpstr>
      <vt:lpstr>hyper_roc2</vt:lpstr>
      <vt:lpstr>hyper_roc3</vt:lpstr>
      <vt:lpstr>hyper_scenario</vt:lpstr>
      <vt:lpstr>hyper_tax_rate</vt:lpstr>
      <vt:lpstr>hyper_tax_rate2</vt:lpstr>
      <vt:lpstr>hyper_unlevered_coe</vt:lpstr>
      <vt:lpstr>hyper_unlevered_coe2</vt:lpstr>
      <vt:lpstr>initial</vt:lpstr>
      <vt:lpstr>Interest_margin</vt:lpstr>
      <vt:lpstr>is_error</vt:lpstr>
      <vt:lpstr>is_ok</vt:lpstr>
      <vt:lpstr>last_row_1</vt:lpstr>
      <vt:lpstr>last_row_2</vt:lpstr>
      <vt:lpstr>last_row_3</vt:lpstr>
      <vt:lpstr>last_row_4</vt:lpstr>
      <vt:lpstr>last_row_5</vt:lpstr>
      <vt:lpstr>last_row_6</vt:lpstr>
      <vt:lpstr>leverage_1_series_1</vt:lpstr>
      <vt:lpstr>leverage_1_series_2</vt:lpstr>
      <vt:lpstr>leverage_x</vt:lpstr>
      <vt:lpstr>magic_number</vt:lpstr>
      <vt:lpstr>main_page_error</vt:lpstr>
      <vt:lpstr>major_version</vt:lpstr>
      <vt:lpstr>minor_version</vt:lpstr>
      <vt:lpstr>n_a</vt:lpstr>
      <vt:lpstr>period_table</vt:lpstr>
      <vt:lpstr>phase_1_length</vt:lpstr>
      <vt:lpstr>row_assets</vt:lpstr>
      <vt:lpstr>row_borrowing</vt:lpstr>
      <vt:lpstr>row_capex</vt:lpstr>
      <vt:lpstr>row_capex_growth</vt:lpstr>
      <vt:lpstr>row_capex_replacement</vt:lpstr>
      <vt:lpstr>row_coe</vt:lpstr>
      <vt:lpstr>row_coe_column</vt:lpstr>
      <vt:lpstr>row_coverage_ratio</vt:lpstr>
      <vt:lpstr>row_debt</vt:lpstr>
      <vt:lpstr>row_depn</vt:lpstr>
      <vt:lpstr>row_depn_rate</vt:lpstr>
      <vt:lpstr>row_depn_rate_phase_1</vt:lpstr>
      <vt:lpstr>row_depn_rate_phase_2</vt:lpstr>
      <vt:lpstr>row_dividends</vt:lpstr>
      <vt:lpstr>row_ebit</vt:lpstr>
      <vt:lpstr>row_ebitda</vt:lpstr>
      <vt:lpstr>row_equity</vt:lpstr>
      <vt:lpstr>row_equity_margin</vt:lpstr>
      <vt:lpstr>row_equity_margin_phase_1</vt:lpstr>
      <vt:lpstr>row_equity_margin_phase_2</vt:lpstr>
      <vt:lpstr>row_ev_ebitda</vt:lpstr>
      <vt:lpstr>row_ev_ebitda_column</vt:lpstr>
      <vt:lpstr>row_eva</vt:lpstr>
      <vt:lpstr>row_eva_aip</vt:lpstr>
      <vt:lpstr>row_eva_check</vt:lpstr>
      <vt:lpstr>row_eva_ga</vt:lpstr>
      <vt:lpstr>row_fcfd</vt:lpstr>
      <vt:lpstr>row_fcfe</vt:lpstr>
      <vt:lpstr>row_fcfe_column</vt:lpstr>
      <vt:lpstr>row_fcff</vt:lpstr>
      <vt:lpstr>row_fcff_column</vt:lpstr>
      <vt:lpstr>row_growth</vt:lpstr>
      <vt:lpstr>row_growth_phase_1</vt:lpstr>
      <vt:lpstr>row_growth_phase_2</vt:lpstr>
      <vt:lpstr>row_interest</vt:lpstr>
      <vt:lpstr>row_interest_rate</vt:lpstr>
      <vt:lpstr>row_interest_rate_column</vt:lpstr>
      <vt:lpstr>row_leverage</vt:lpstr>
      <vt:lpstr>row_leverage_phase_1</vt:lpstr>
      <vt:lpstr>row_leverage_phase_2</vt:lpstr>
      <vt:lpstr>row_mvd</vt:lpstr>
      <vt:lpstr>row_mvd_column</vt:lpstr>
      <vt:lpstr>row_mve</vt:lpstr>
      <vt:lpstr>row_mve_column</vt:lpstr>
      <vt:lpstr>row_mve_e</vt:lpstr>
      <vt:lpstr>row_mve_e_column</vt:lpstr>
      <vt:lpstr>row_mvf</vt:lpstr>
      <vt:lpstr>row_mvf_column</vt:lpstr>
      <vt:lpstr>row_mvf_f</vt:lpstr>
      <vt:lpstr>row_mvf_f_column</vt:lpstr>
      <vt:lpstr>row_net_profit</vt:lpstr>
      <vt:lpstr>row_pe</vt:lpstr>
      <vt:lpstr>row_pe_column</vt:lpstr>
      <vt:lpstr>row_risk_free_rate</vt:lpstr>
      <vt:lpstr>row_risk_free_rate_phase_1</vt:lpstr>
      <vt:lpstr>row_risk_free_rate_phase_2</vt:lpstr>
      <vt:lpstr>row_roc</vt:lpstr>
      <vt:lpstr>row_roc_column</vt:lpstr>
      <vt:lpstr>row_roc_phase_1</vt:lpstr>
      <vt:lpstr>row_roc_phase_2</vt:lpstr>
      <vt:lpstr>row_roe</vt:lpstr>
      <vt:lpstr>row_roe_column</vt:lpstr>
      <vt:lpstr>row_tax</vt:lpstr>
      <vt:lpstr>row_tax_rate</vt:lpstr>
      <vt:lpstr>row_tax_rate_phase_1</vt:lpstr>
      <vt:lpstr>row_tax_rate_phase_2</vt:lpstr>
      <vt:lpstr>row_udf1</vt:lpstr>
      <vt:lpstr>row_udf2</vt:lpstr>
      <vt:lpstr>row_udf3</vt:lpstr>
      <vt:lpstr>row_udf4</vt:lpstr>
      <vt:lpstr>row_udf5</vt:lpstr>
      <vt:lpstr>row_udf6</vt:lpstr>
      <vt:lpstr>row_udf7</vt:lpstr>
      <vt:lpstr>row_udf8</vt:lpstr>
      <vt:lpstr>row_unlevered_coe</vt:lpstr>
      <vt:lpstr>row_wacc</vt:lpstr>
      <vt:lpstr>row_wacc_column</vt:lpstr>
      <vt:lpstr>sens_chart_choices</vt:lpstr>
      <vt:lpstr>sens_chart_choices_2</vt:lpstr>
      <vt:lpstr>sens_shift</vt:lpstr>
      <vt:lpstr>sens_switch_de</vt:lpstr>
      <vt:lpstr>series_1_anchor_1</vt:lpstr>
      <vt:lpstr>series_1_anchor_2</vt:lpstr>
      <vt:lpstr>series_1_anchor_3</vt:lpstr>
      <vt:lpstr>series_1_anchor_ghost</vt:lpstr>
      <vt:lpstr>series_1_name_1</vt:lpstr>
      <vt:lpstr>series_1_name_2</vt:lpstr>
      <vt:lpstr>series_1_name_3</vt:lpstr>
      <vt:lpstr>series_2_anchor_1</vt:lpstr>
      <vt:lpstr>series_2_anchor_2</vt:lpstr>
      <vt:lpstr>series_2_anchor_3</vt:lpstr>
      <vt:lpstr>series_2_anchor_ghost</vt:lpstr>
      <vt:lpstr>series_2_name_1</vt:lpstr>
      <vt:lpstr>series_2_name_2</vt:lpstr>
      <vt:lpstr>series_2_name_3</vt:lpstr>
      <vt:lpstr>series_3_anchor_1</vt:lpstr>
      <vt:lpstr>series_3_anchor_2</vt:lpstr>
      <vt:lpstr>series_3_anchor_3</vt:lpstr>
      <vt:lpstr>series_3_anchor_ghost</vt:lpstr>
      <vt:lpstr>series_3_name_1</vt:lpstr>
      <vt:lpstr>series_3_name_2</vt:lpstr>
      <vt:lpstr>series_3_name_3</vt:lpstr>
      <vt:lpstr>shift_index</vt:lpstr>
      <vt:lpstr>test_data</vt:lpstr>
      <vt:lpstr>the_error_was</vt:lpstr>
      <vt:lpstr>title</vt:lpstr>
      <vt:lpstr>title_growth_1</vt:lpstr>
      <vt:lpstr>title_growth_2</vt:lpstr>
      <vt:lpstr>title_growth_3</vt:lpstr>
      <vt:lpstr>title_growth_4</vt:lpstr>
      <vt:lpstr>title_growth_5</vt:lpstr>
      <vt:lpstr>title_growth_6</vt:lpstr>
      <vt:lpstr>top_1_series_2</vt:lpstr>
      <vt:lpstr>top_y_scale</vt:lpstr>
      <vt:lpstr>unlock_1</vt:lpstr>
      <vt:lpstr>unlock_10</vt:lpstr>
      <vt:lpstr>unlock_11</vt:lpstr>
      <vt:lpstr>unlock_12</vt:lpstr>
      <vt:lpstr>unlock_13</vt:lpstr>
      <vt:lpstr>unlock_14</vt:lpstr>
      <vt:lpstr>unlock_15</vt:lpstr>
      <vt:lpstr>unlock_16</vt:lpstr>
      <vt:lpstr>unlock_17</vt:lpstr>
      <vt:lpstr>unlock_18</vt:lpstr>
      <vt:lpstr>unlock_19</vt:lpstr>
      <vt:lpstr>unlock_2</vt:lpstr>
      <vt:lpstr>unlock_20</vt:lpstr>
      <vt:lpstr>unlock_21</vt:lpstr>
      <vt:lpstr>unlock_22</vt:lpstr>
      <vt:lpstr>unlock_23</vt:lpstr>
      <vt:lpstr>unlock_3</vt:lpstr>
      <vt:lpstr>unlock_4</vt:lpstr>
      <vt:lpstr>unlock_5</vt:lpstr>
      <vt:lpstr>unlock_6</vt:lpstr>
      <vt:lpstr>unlock_7</vt:lpstr>
      <vt:lpstr>unlock_8</vt:lpstr>
      <vt:lpstr>unlock_9</vt:lpstr>
      <vt:lpstr>valutils_assumptions_vary</vt:lpstr>
      <vt:lpstr>valutils_attribution</vt:lpstr>
      <vt:lpstr>valutils_av_comment</vt:lpstr>
      <vt:lpstr>valutils_av_cov</vt:lpstr>
      <vt:lpstr>valutils_av_global</vt:lpstr>
      <vt:lpstr>valutils_av_params</vt:lpstr>
      <vt:lpstr>valutils_main</vt:lpstr>
      <vt:lpstr>valutils_main_comment</vt:lpstr>
      <vt:lpstr>valutils_main_cov</vt:lpstr>
      <vt:lpstr>valutils_main_global</vt:lpstr>
      <vt:lpstr>valutils_main_params</vt:lpstr>
      <vt:lpstr>valutils_s_comment</vt:lpstr>
      <vt:lpstr>valutils_s_cov</vt:lpstr>
      <vt:lpstr>valutils_s_global</vt:lpstr>
      <vt:lpstr>valutils_s_params</vt:lpstr>
      <vt:lpstr>valutils_scenario</vt:lpstr>
      <vt:lpstr>valutils_sensitivity_report</vt:lpstr>
      <vt:lpstr>valutils_time_varies</vt:lpstr>
      <vt:lpstr>valutils_tv_comment</vt:lpstr>
      <vt:lpstr>valutils_tv_cov</vt:lpstr>
      <vt:lpstr>valutils_tv_global</vt:lpstr>
      <vt:lpstr>valutils_tv_params</vt:lpstr>
      <vt:lpstr>valutils_udf</vt:lpstr>
      <vt:lpstr>varies_parameter</vt:lpstr>
      <vt:lpstr>vary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tykoh</dc:creator>
  <cp:lastModifiedBy>Alex</cp:lastModifiedBy>
  <dcterms:created xsi:type="dcterms:W3CDTF">2011-11-30T21:29:17Z</dcterms:created>
  <dcterms:modified xsi:type="dcterms:W3CDTF">2020-12-21T00:06:22Z</dcterms:modified>
</cp:coreProperties>
</file>